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2021\01_THINK_PAD_Data\02_兵庫陸上競技協会\04_兵庫リレー\兵庫ﾘﾚｰ2026\"/>
    </mc:Choice>
  </mc:AlternateContent>
  <xr:revisionPtr revIDLastSave="0" documentId="13_ncr:1_{68D692F5-CBE5-4061-AF4A-CBB25EAA8B5D}" xr6:coauthVersionLast="47" xr6:coauthVersionMax="47" xr10:uidLastSave="{00000000-0000-0000-0000-000000000000}"/>
  <bookViews>
    <workbookView xWindow="-108" yWindow="-108" windowWidth="23256" windowHeight="12456" xr2:uid="{EB24C1AC-8C06-4907-90E0-F3D175B9074F}"/>
  </bookViews>
  <sheets>
    <sheet name="注意事項" sheetId="5" r:id="rId1"/>
    <sheet name="男子申込" sheetId="2" r:id="rId2"/>
    <sheet name="女子申込" sheetId="9" r:id="rId3"/>
  </sheets>
  <externalReferences>
    <externalReference r:id="rId4"/>
    <externalReference r:id="rId5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G_code">#REF!</definedName>
    <definedName name="gun">[1]次年度一覧!$F$6:$H$51</definedName>
    <definedName name="_xlnm.Print_Area" localSheetId="2">女子申込!$A$2:$AB$30</definedName>
    <definedName name="_xlnm.Print_Area" localSheetId="1">男子申込!$A$2:$AB$30</definedName>
    <definedName name="_xlnm.Print_Titles" localSheetId="2">女子申込!$2:$15</definedName>
    <definedName name="_xlnm.Print_Titles" localSheetId="1">男子申込!$2:$15</definedName>
  </definedNames>
  <calcPr calcId="191029"/>
</workbook>
</file>

<file path=xl/calcChain.xml><?xml version="1.0" encoding="utf-8"?>
<calcChain xmlns="http://schemas.openxmlformats.org/spreadsheetml/2006/main">
  <c r="AF35" i="2" l="1"/>
  <c r="AJ35" i="2" s="1"/>
  <c r="AF34" i="2"/>
  <c r="AJ34" i="2" s="1"/>
  <c r="AF33" i="2"/>
  <c r="AJ33" i="2" s="1"/>
  <c r="AF32" i="2"/>
  <c r="AJ32" i="2" s="1"/>
  <c r="AF31" i="2"/>
  <c r="AJ31" i="2" s="1"/>
  <c r="AF30" i="2"/>
  <c r="AF29" i="2"/>
  <c r="AA29" i="2" s="1"/>
  <c r="AC29" i="2" s="1"/>
  <c r="AF28" i="2"/>
  <c r="AA28" i="2" s="1"/>
  <c r="AC28" i="2" s="1"/>
  <c r="AF27" i="2"/>
  <c r="AK27" i="2" s="1"/>
  <c r="AF26" i="2"/>
  <c r="AF25" i="2"/>
  <c r="AF24" i="2"/>
  <c r="AF23" i="2"/>
  <c r="AA23" i="2" s="1"/>
  <c r="AC23" i="2" s="1"/>
  <c r="AF22" i="2"/>
  <c r="AF21" i="2"/>
  <c r="AK21" i="2" s="1"/>
  <c r="AF20" i="2"/>
  <c r="AA20" i="2" s="1"/>
  <c r="AC20" i="2" s="1"/>
  <c r="AF19" i="2"/>
  <c r="AA19" i="2" s="1"/>
  <c r="AC19" i="2" s="1"/>
  <c r="AF18" i="2"/>
  <c r="AA18" i="2" s="1"/>
  <c r="AC18" i="2" s="1"/>
  <c r="AF17" i="2"/>
  <c r="AK17" i="2" s="1"/>
  <c r="AF16" i="2"/>
  <c r="AA16" i="2" s="1"/>
  <c r="AC16" i="2" s="1"/>
  <c r="AF35" i="9"/>
  <c r="AK35" i="9" s="1"/>
  <c r="AF34" i="9"/>
  <c r="AK34" i="9" s="1"/>
  <c r="AF33" i="9"/>
  <c r="AK33" i="9" s="1"/>
  <c r="AF32" i="9"/>
  <c r="AK32" i="9" s="1"/>
  <c r="AF31" i="9"/>
  <c r="AF30" i="9"/>
  <c r="AF29" i="9"/>
  <c r="AK29" i="9" s="1"/>
  <c r="AF28" i="9"/>
  <c r="AA28" i="9" s="1"/>
  <c r="AC28" i="9" s="1"/>
  <c r="AF27" i="9"/>
  <c r="AF26" i="9"/>
  <c r="AF25" i="9"/>
  <c r="AA25" i="9" s="1"/>
  <c r="AC25" i="9" s="1"/>
  <c r="AF24" i="9"/>
  <c r="AK24" i="9" s="1"/>
  <c r="AF23" i="9"/>
  <c r="AF22" i="9"/>
  <c r="AF21" i="9"/>
  <c r="AA21" i="9" s="1"/>
  <c r="AC21" i="9" s="1"/>
  <c r="AF20" i="9"/>
  <c r="AA20" i="9" s="1"/>
  <c r="AC20" i="9" s="1"/>
  <c r="AF19" i="9"/>
  <c r="AF18" i="9"/>
  <c r="AK18" i="9" s="1"/>
  <c r="AF17" i="9"/>
  <c r="AA17" i="9" s="1"/>
  <c r="AC17" i="9" s="1"/>
  <c r="AF16" i="9"/>
  <c r="AA16" i="9" s="1"/>
  <c r="AC16" i="9" s="1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B9" i="9"/>
  <c r="E11" i="2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A30" i="9"/>
  <c r="AC30" i="9" s="1"/>
  <c r="AA29" i="9"/>
  <c r="AC29" i="9" s="1"/>
  <c r="AA27" i="9"/>
  <c r="AC27" i="9" s="1"/>
  <c r="AA26" i="9"/>
  <c r="AC26" i="9" s="1"/>
  <c r="AA23" i="9"/>
  <c r="AC23" i="9" s="1"/>
  <c r="AK23" i="9"/>
  <c r="AA22" i="9"/>
  <c r="AC22" i="9" s="1"/>
  <c r="AA19" i="9"/>
  <c r="AC19" i="9" s="1"/>
  <c r="E12" i="9"/>
  <c r="AQ11" i="2" s="1"/>
  <c r="E12" i="2"/>
  <c r="AM11" i="2" s="1"/>
  <c r="E4" i="9"/>
  <c r="AE37" i="9"/>
  <c r="AF37" i="9" s="1"/>
  <c r="E7" i="9"/>
  <c r="J7" i="9"/>
  <c r="L7" i="9"/>
  <c r="E11" i="9" s="1"/>
  <c r="E9" i="9"/>
  <c r="AV11" i="2"/>
  <c r="AW11" i="2" s="1"/>
  <c r="AE37" i="2"/>
  <c r="AF37" i="2" s="1"/>
  <c r="AJ35" i="9"/>
  <c r="AJ34" i="9"/>
  <c r="AJ33" i="9"/>
  <c r="AJ32" i="9"/>
  <c r="AJ31" i="9"/>
  <c r="AJ30" i="9"/>
  <c r="AJ29" i="9"/>
  <c r="AJ28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E22" i="9"/>
  <c r="AE21" i="9"/>
  <c r="AI21" i="9" s="1"/>
  <c r="AE20" i="9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I20" i="2" s="1"/>
  <c r="AE11" i="2"/>
  <c r="AE18" i="2" s="1"/>
  <c r="AI18" i="2" s="1"/>
  <c r="AI35" i="2"/>
  <c r="AI34" i="2"/>
  <c r="AI33" i="2"/>
  <c r="AI32" i="2"/>
  <c r="AI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D31" i="2"/>
  <c r="AG31" i="2"/>
  <c r="AM31" i="2"/>
  <c r="AD32" i="2"/>
  <c r="AG32" i="2"/>
  <c r="AM32" i="2"/>
  <c r="AD33" i="2"/>
  <c r="AC33" i="2"/>
  <c r="AG33" i="2"/>
  <c r="AM33" i="2"/>
  <c r="AD34" i="2"/>
  <c r="AC34" i="2"/>
  <c r="AG34" i="2"/>
  <c r="AM34" i="2"/>
  <c r="AD35" i="2"/>
  <c r="AC35" i="2"/>
  <c r="AG35" i="2"/>
  <c r="AM35" i="2"/>
  <c r="I14" i="2"/>
  <c r="F9" i="9"/>
  <c r="I14" i="9"/>
  <c r="AU11" i="2"/>
  <c r="AT11" i="2"/>
  <c r="W12" i="9"/>
  <c r="Y11" i="9"/>
  <c r="W11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T9" i="9"/>
  <c r="P9" i="9"/>
  <c r="T7" i="9"/>
  <c r="P7" i="9"/>
  <c r="J12" i="9"/>
  <c r="J12" i="2"/>
  <c r="AN35" i="9"/>
  <c r="AM35" i="9"/>
  <c r="AG35" i="9"/>
  <c r="AC35" i="9"/>
  <c r="AD35" i="9"/>
  <c r="AN34" i="9"/>
  <c r="AM34" i="9"/>
  <c r="AG34" i="9"/>
  <c r="AD34" i="9"/>
  <c r="AN33" i="9"/>
  <c r="AM33" i="9"/>
  <c r="AG33" i="9"/>
  <c r="AC33" i="9"/>
  <c r="AD33" i="9"/>
  <c r="AN32" i="9"/>
  <c r="AM32" i="9"/>
  <c r="AG32" i="9"/>
  <c r="AD32" i="9"/>
  <c r="AN31" i="9"/>
  <c r="AM31" i="9"/>
  <c r="AG31" i="9"/>
  <c r="AC31" i="9"/>
  <c r="AD31" i="9"/>
  <c r="AM30" i="9"/>
  <c r="AG30" i="9"/>
  <c r="AB30" i="9" s="1"/>
  <c r="AD30" i="9"/>
  <c r="AM29" i="9"/>
  <c r="AG29" i="9"/>
  <c r="AB29" i="9" s="1"/>
  <c r="AD29" i="9"/>
  <c r="AM28" i="9"/>
  <c r="AG28" i="9"/>
  <c r="AB28" i="9" s="1"/>
  <c r="AD28" i="9"/>
  <c r="AM27" i="9"/>
  <c r="AG27" i="9"/>
  <c r="AB27" i="9" s="1"/>
  <c r="AK27" i="9"/>
  <c r="AD27" i="9"/>
  <c r="AM26" i="9"/>
  <c r="AG26" i="9"/>
  <c r="AB26" i="9" s="1"/>
  <c r="AK26" i="9"/>
  <c r="AD26" i="9"/>
  <c r="AM25" i="9"/>
  <c r="AG25" i="9"/>
  <c r="AB25" i="9" s="1"/>
  <c r="AD25" i="9"/>
  <c r="AM24" i="9"/>
  <c r="AG24" i="9"/>
  <c r="AB24" i="9" s="1"/>
  <c r="AD24" i="9"/>
  <c r="AM23" i="9"/>
  <c r="AG23" i="9"/>
  <c r="AB23" i="9" s="1"/>
  <c r="AD23" i="9"/>
  <c r="AM22" i="9"/>
  <c r="AG22" i="9"/>
  <c r="AB22" i="9" s="1"/>
  <c r="AK22" i="9"/>
  <c r="AD22" i="9"/>
  <c r="AM21" i="9"/>
  <c r="AG21" i="9"/>
  <c r="AD21" i="9"/>
  <c r="AM20" i="9"/>
  <c r="AG20" i="9"/>
  <c r="AD20" i="9"/>
  <c r="AM19" i="9"/>
  <c r="AG19" i="9"/>
  <c r="AD19" i="9"/>
  <c r="AM18" i="9"/>
  <c r="AG18" i="9"/>
  <c r="AD18" i="9"/>
  <c r="AM17" i="9"/>
  <c r="AG17" i="9"/>
  <c r="AD17" i="9"/>
  <c r="AM16" i="9"/>
  <c r="AG16" i="9"/>
  <c r="AD16" i="9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17" i="2"/>
  <c r="AD16" i="2"/>
  <c r="AC7" i="9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J11" i="2"/>
  <c r="AI11" i="2"/>
  <c r="AH11" i="2"/>
  <c r="AF11" i="2"/>
  <c r="AA30" i="2"/>
  <c r="AC30" i="2" s="1"/>
  <c r="AK26" i="2"/>
  <c r="AA25" i="2"/>
  <c r="AC25" i="2" s="1"/>
  <c r="AK25" i="2"/>
  <c r="AA24" i="2"/>
  <c r="AC24" i="2" s="1"/>
  <c r="AA22" i="2"/>
  <c r="AC22" i="2" s="1"/>
  <c r="B7" i="9"/>
  <c r="AI26" i="2"/>
  <c r="AI23" i="2"/>
  <c r="AI25" i="2"/>
  <c r="AI21" i="2"/>
  <c r="AI22" i="2"/>
  <c r="AI29" i="2"/>
  <c r="AI24" i="2"/>
  <c r="AI30" i="2"/>
  <c r="AI27" i="2"/>
  <c r="AI28" i="2"/>
  <c r="AI22" i="9"/>
  <c r="AI20" i="9"/>
  <c r="AG11" i="2"/>
  <c r="AE16" i="9"/>
  <c r="AI16" i="9"/>
  <c r="AE18" i="9"/>
  <c r="AI18" i="9"/>
  <c r="AE17" i="9"/>
  <c r="AI17" i="9" s="1"/>
  <c r="AE19" i="9"/>
  <c r="AI19" i="9"/>
  <c r="AE16" i="2"/>
  <c r="AI16" i="2" s="1"/>
  <c r="AE19" i="2"/>
  <c r="AI19" i="2" s="1"/>
  <c r="AE17" i="2"/>
  <c r="AI17" i="2" s="1"/>
  <c r="AC34" i="9"/>
  <c r="AC31" i="2"/>
  <c r="AC32" i="2"/>
  <c r="AK31" i="9"/>
  <c r="AK19" i="9"/>
  <c r="AA18" i="9"/>
  <c r="AC18" i="9" s="1"/>
  <c r="AC32" i="9"/>
  <c r="AH37" i="2" l="1"/>
  <c r="AK25" i="9"/>
  <c r="AA24" i="9"/>
  <c r="AC24" i="9" s="1"/>
  <c r="AK17" i="9"/>
  <c r="AK28" i="9"/>
  <c r="AK21" i="9"/>
  <c r="AK20" i="9"/>
  <c r="AK16" i="9"/>
  <c r="AI37" i="9"/>
  <c r="AM37" i="9"/>
  <c r="AK30" i="9"/>
  <c r="AK37" i="9"/>
  <c r="AL37" i="9"/>
  <c r="L12" i="2"/>
  <c r="AK16" i="2"/>
  <c r="L12" i="9"/>
  <c r="AS11" i="2" s="1"/>
  <c r="AA17" i="2"/>
  <c r="AC17" i="2" s="1"/>
  <c r="AA27" i="2"/>
  <c r="AC27" i="2" s="1"/>
  <c r="AK22" i="2"/>
  <c r="AA26" i="2"/>
  <c r="AC26" i="2" s="1"/>
  <c r="AK28" i="2"/>
  <c r="AK30" i="2"/>
  <c r="AK29" i="2"/>
  <c r="AK20" i="2"/>
  <c r="AL37" i="2"/>
  <c r="AK18" i="2"/>
  <c r="AK23" i="2"/>
  <c r="AK37" i="2"/>
  <c r="AN37" i="2"/>
  <c r="D12" i="9"/>
  <c r="AP11" i="2" s="1"/>
  <c r="AN11" i="2"/>
  <c r="AG37" i="9"/>
  <c r="AJ37" i="2"/>
  <c r="AN37" i="9"/>
  <c r="AH37" i="9"/>
  <c r="AA21" i="2"/>
  <c r="AC21" i="2" s="1"/>
  <c r="AK24" i="2"/>
  <c r="AR11" i="2"/>
  <c r="AJ37" i="9"/>
  <c r="AI37" i="2"/>
  <c r="AM37" i="2"/>
  <c r="AK19" i="2"/>
  <c r="AG37" i="2"/>
  <c r="P12" i="2" l="1"/>
  <c r="AK11" i="2" s="1"/>
  <c r="AO11" i="2"/>
  <c r="P12" i="9"/>
  <c r="D12" i="2"/>
  <c r="AL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  <author>yotuka</author>
  </authors>
  <commentList>
    <comment ref="J7" authorId="0" shapeId="0" xr:uid="{C367C221-D1EE-4AC8-BEAE-748DD9596728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所属のフリガナを入力してください。
郡市区・小は不要です</t>
        </r>
      </text>
    </comment>
    <comment ref="L7" authorId="1" shapeId="0" xr:uid="{9DD809C3-ED43-44A3-97FF-281B8D3B3B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県内・県外:
</t>
        </r>
        <r>
          <rPr>
            <sz val="9"/>
            <color indexed="81"/>
            <rFont val="ＭＳ Ｐゴシック"/>
            <family val="3"/>
            <charset val="128"/>
          </rPr>
          <t xml:space="preserve">登録団体が兵庫県内の場合：県内とする
それ以外は県外
</t>
        </r>
        <r>
          <rPr>
            <b/>
            <sz val="9"/>
            <color indexed="81"/>
            <rFont val="ＭＳ Ｐゴシック"/>
            <family val="3"/>
            <charset val="128"/>
          </rPr>
          <t>県外の兵庫登録学生も県外となります。</t>
        </r>
      </text>
    </comment>
    <comment ref="X7" authorId="1" shapeId="0" xr:uid="{48C7FF5C-E67D-492F-BAB8-B5993A917200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0" shapeId="0" xr:uid="{61B83270-27BA-4EB2-9C52-668DDEB273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A92926FB-D75A-481B-994D-B1AEA8CF7C61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P9" authorId="0" shapeId="0" xr:uid="{3607F7EC-24B5-43B4-A94C-2A51E6129EE4}">
      <text>
        <r>
          <rPr>
            <b/>
            <sz val="9"/>
            <color indexed="81"/>
            <rFont val="MS P ゴシック"/>
            <family val="3"/>
            <charset val="128"/>
          </rPr>
          <t>電話番号:</t>
        </r>
        <r>
          <rPr>
            <sz val="9"/>
            <color indexed="81"/>
            <rFont val="MS P ゴシック"/>
            <family val="3"/>
            <charset val="128"/>
          </rPr>
          <t xml:space="preserve">
***-***-****の形式
ハイフン(－)入力</t>
        </r>
      </text>
    </comment>
    <comment ref="T9" authorId="0" shapeId="0" xr:uid="{78E4FAC1-53FE-47AC-AD8E-323CE87FB855}">
      <text>
        <r>
          <rPr>
            <sz val="9"/>
            <color indexed="81"/>
            <rFont val="ＭＳ Ｐゴシック"/>
            <family val="3"/>
            <charset val="128"/>
          </rPr>
          <t xml:space="preserve">問合わせに使用
</t>
        </r>
        <r>
          <rPr>
            <sz val="9"/>
            <color indexed="81"/>
            <rFont val="ＭＳ ゴシック"/>
            <family val="3"/>
            <charset val="128"/>
          </rPr>
          <t>必ず記入ください。
***-****-****
ハイフン(-)使用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  <author>yotuka</author>
  </authors>
  <commentList>
    <comment ref="J7" authorId="0" shapeId="0" xr:uid="{7E4D967C-0D5D-49ED-9F0C-B569972C4DF3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所属のフリガナを入力してください。
郡市区・小は不要です</t>
        </r>
      </text>
    </comment>
    <comment ref="X7" authorId="1" shapeId="0" xr:uid="{7C1B283B-B2C5-414A-86EA-87D63576ECBC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0" shapeId="0" xr:uid="{74C19C39-9559-46F1-88EE-E0C882C0F0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AC57BC3A-A16B-4F19-B25D-4146CD636D80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T9" authorId="0" shapeId="0" xr:uid="{ECE04EE5-A0F5-4AE0-B305-76C9CA4D3D3F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プルグラム編成時の問合わせに使用します。
必ず記入ください。</t>
        </r>
      </text>
    </comment>
  </commentList>
</comments>
</file>

<file path=xl/sharedStrings.xml><?xml version="1.0" encoding="utf-8"?>
<sst xmlns="http://schemas.openxmlformats.org/spreadsheetml/2006/main" count="257" uniqueCount="146">
  <si>
    <t>氏</t>
    <rPh sb="0" eb="1">
      <t>シ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</si>
  <si>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</si>
  <si>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</si>
  <si>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名(ｶﾅ)</t>
    <rPh sb="0" eb="1">
      <t>メイ</t>
    </rPh>
    <phoneticPr fontId="2"/>
  </si>
  <si>
    <t>メールアドレス</t>
    <phoneticPr fontId="2"/>
  </si>
  <si>
    <t>メール件名</t>
    <rPh sb="3" eb="5">
      <t>ケンメイ</t>
    </rPh>
    <phoneticPr fontId="2"/>
  </si>
  <si>
    <t>送付先</t>
    <rPh sb="0" eb="2">
      <t>ソウフ</t>
    </rPh>
    <rPh sb="2" eb="3">
      <t>サキ</t>
    </rPh>
    <phoneticPr fontId="2"/>
  </si>
  <si>
    <r>
      <t>③印刷した選手申込一覧表を</t>
    </r>
    <r>
      <rPr>
        <sz val="18"/>
        <color indexed="10"/>
        <rFont val="ＭＳ Ｐゴシック"/>
        <family val="3"/>
        <charset val="128"/>
      </rPr>
      <t>申込先に送付</t>
    </r>
    <rPh sb="1" eb="3">
      <t>インサツ</t>
    </rPh>
    <rPh sb="5" eb="7">
      <t>センシュ</t>
    </rPh>
    <rPh sb="7" eb="9">
      <t>モウシコミ</t>
    </rPh>
    <rPh sb="9" eb="11">
      <t>イチラン</t>
    </rPh>
    <rPh sb="11" eb="12">
      <t>ヒョウ</t>
    </rPh>
    <rPh sb="13" eb="15">
      <t>モウシコミ</t>
    </rPh>
    <rPh sb="15" eb="16">
      <t>サキ</t>
    </rPh>
    <rPh sb="17" eb="19">
      <t>ソウフ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</si>
  <si>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</si>
  <si>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</si>
  <si>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</si>
  <si>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</si>
  <si>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</si>
  <si>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</si>
  <si>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</si>
  <si>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※メール送信の前によくチェックし、何度もメールを送信しないでください。</t>
    <rPh sb="4" eb="6">
      <t>ソウシン</t>
    </rPh>
    <rPh sb="7" eb="8">
      <t>マエ</t>
    </rPh>
    <rPh sb="17" eb="19">
      <t>ナンド</t>
    </rPh>
    <rPh sb="24" eb="26">
      <t>ソウシン</t>
    </rPh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</si>
  <si>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</si>
  <si>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</si>
  <si>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種目ｺｰﾄﾞ</t>
    <rPh sb="0" eb="2">
      <t>シュモク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</si>
  <si>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</si>
  <si>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SX</t>
    <phoneticPr fontId="2"/>
  </si>
  <si>
    <t>N1</t>
    <phoneticPr fontId="2"/>
  </si>
  <si>
    <t>N2</t>
    <phoneticPr fontId="2"/>
  </si>
  <si>
    <t>DB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</si>
  <si>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</si>
  <si>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</si>
  <si>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</si>
  <si>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</si>
  <si>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参加人数</t>
    <rPh sb="0" eb="2">
      <t>サンカ</t>
    </rPh>
    <rPh sb="2" eb="4">
      <t>ニンズウ</t>
    </rPh>
    <phoneticPr fontId="2"/>
  </si>
  <si>
    <t>〒</t>
    <phoneticPr fontId="2"/>
  </si>
  <si>
    <t>DB</t>
  </si>
  <si>
    <t>N1</t>
  </si>
  <si>
    <t>N2</t>
  </si>
  <si>
    <t>TM</t>
  </si>
  <si>
    <t>S1</t>
  </si>
  <si>
    <t>S2</t>
  </si>
  <si>
    <t>S3</t>
  </si>
  <si>
    <t>S4</t>
  </si>
  <si>
    <t>S5</t>
  </si>
  <si>
    <t>S6</t>
  </si>
  <si>
    <t>共通</t>
    <rPh sb="0" eb="2">
      <t>キョウツウ</t>
    </rPh>
    <phoneticPr fontId="2"/>
  </si>
  <si>
    <t>所属名</t>
    <rPh sb="0" eb="2">
      <t>ショゾク</t>
    </rPh>
    <rPh sb="2" eb="3">
      <t>メイ</t>
    </rPh>
    <phoneticPr fontId="2"/>
  </si>
  <si>
    <t>ﾌﾘｶﾞﾅ</t>
    <phoneticPr fontId="2"/>
  </si>
  <si>
    <t>郡市ｺｰﾄﾞ</t>
    <rPh sb="0" eb="2">
      <t>グンシ</t>
    </rPh>
    <phoneticPr fontId="2"/>
  </si>
  <si>
    <t>メール本文</t>
    <rPh sb="3" eb="5">
      <t>ホンブン</t>
    </rPh>
    <phoneticPr fontId="2"/>
  </si>
  <si>
    <t>添付ファイル</t>
    <rPh sb="0" eb="2">
      <t>テンプ</t>
    </rPh>
    <phoneticPr fontId="2"/>
  </si>
  <si>
    <t>リレー
○印</t>
    <rPh sb="5" eb="6">
      <t>シルシ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</si>
  <si>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</si>
  <si>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</si>
  <si>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</si>
  <si>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秒
m</t>
    <rPh sb="0" eb="1">
      <t>ビョウ</t>
    </rPh>
    <phoneticPr fontId="2"/>
  </si>
  <si>
    <t>出場資格取得
大会名</t>
    <rPh sb="7" eb="10">
      <t>タイカイメイ</t>
    </rPh>
    <phoneticPr fontId="2"/>
  </si>
  <si>
    <t>受付番号</t>
    <rPh sb="0" eb="2">
      <t>ウケツケ</t>
    </rPh>
    <rPh sb="2" eb="3">
      <t>バン</t>
    </rPh>
    <rPh sb="3" eb="4">
      <t>ゴウ</t>
    </rPh>
    <phoneticPr fontId="2"/>
  </si>
  <si>
    <t>ナンバー
記入しない</t>
    <rPh sb="5" eb="7">
      <t>キニュウ</t>
    </rPh>
    <phoneticPr fontId="2"/>
  </si>
  <si>
    <t>リレー</t>
    <phoneticPr fontId="2"/>
  </si>
  <si>
    <t>○</t>
    <phoneticPr fontId="2"/>
  </si>
  <si>
    <t>年度</t>
    <rPh sb="0" eb="2">
      <t>ネンド</t>
    </rPh>
    <phoneticPr fontId="2"/>
  </si>
  <si>
    <r>
      <rPr>
        <sz val="6"/>
        <rFont val="ＭＳ ゴシック"/>
        <family val="3"/>
        <charset val="128"/>
      </rPr>
      <t>1/100</t>
    </r>
    <r>
      <rPr>
        <sz val="11"/>
        <rFont val="ＭＳ ゴシック"/>
        <family val="3"/>
        <charset val="128"/>
      </rPr>
      <t xml:space="preserve">
cm</t>
    </r>
    <phoneticPr fontId="2"/>
  </si>
  <si>
    <t>姓</t>
    <rPh sb="0" eb="1">
      <t>セイ</t>
    </rPh>
    <phoneticPr fontId="2"/>
  </si>
  <si>
    <t>姓(ｶﾅ)</t>
    <rPh sb="0" eb="1">
      <t>セイ</t>
    </rPh>
    <phoneticPr fontId="2"/>
  </si>
  <si>
    <t>申込責任者</t>
    <rPh sb="0" eb="1">
      <t>サル</t>
    </rPh>
    <rPh sb="1" eb="2">
      <t>コミ</t>
    </rPh>
    <rPh sb="2" eb="5">
      <t>セキニンシャ</t>
    </rPh>
    <phoneticPr fontId="2"/>
  </si>
  <si>
    <t>所属
コード</t>
    <rPh sb="0" eb="2">
      <t>ショゾク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</si>
  <si>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</si>
  <si>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振込日</t>
    <rPh sb="0" eb="2">
      <t>フリコミ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</si>
  <si>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</si>
  <si>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</si>
  <si>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郵便局</t>
    <rPh sb="0" eb="3">
      <t>ユウビンキョク</t>
    </rPh>
    <phoneticPr fontId="2"/>
  </si>
  <si>
    <t>振込局</t>
    <rPh sb="0" eb="2">
      <t>フリコミ</t>
    </rPh>
    <rPh sb="2" eb="3">
      <t>キョク</t>
    </rPh>
    <phoneticPr fontId="2"/>
  </si>
  <si>
    <t>男　子</t>
    <rPh sb="0" eb="1">
      <t>オトコ</t>
    </rPh>
    <rPh sb="2" eb="3">
      <t>コ</t>
    </rPh>
    <phoneticPr fontId="2"/>
  </si>
  <si>
    <t>TF</t>
    <phoneticPr fontId="2"/>
  </si>
  <si>
    <t>女　子</t>
    <rPh sb="0" eb="1">
      <t>ジョ</t>
    </rPh>
    <rPh sb="2" eb="3">
      <t>コ</t>
    </rPh>
    <phoneticPr fontId="2"/>
  </si>
  <si>
    <t>女子</t>
    <rPh sb="0" eb="2">
      <t>ジョシ</t>
    </rPh>
    <phoneticPr fontId="2"/>
  </si>
  <si>
    <t>女子申込料計</t>
    <rPh sb="0" eb="2">
      <t>ジョシ</t>
    </rPh>
    <rPh sb="2" eb="4">
      <t>モウシコミ</t>
    </rPh>
    <rPh sb="4" eb="5">
      <t>リョウ</t>
    </rPh>
    <rPh sb="5" eb="6">
      <t>ケイ</t>
    </rPh>
    <phoneticPr fontId="2"/>
  </si>
  <si>
    <t>男子申込料計</t>
    <rPh sb="0" eb="2">
      <t>ダンシ</t>
    </rPh>
    <rPh sb="2" eb="4">
      <t>モウシコミ</t>
    </rPh>
    <rPh sb="4" eb="5">
      <t>リョウ</t>
    </rPh>
    <rPh sb="5" eb="6">
      <t>ケイ</t>
    </rPh>
    <phoneticPr fontId="2"/>
  </si>
  <si>
    <t>オープン種目</t>
    <rPh sb="4" eb="6">
      <t>シュモク</t>
    </rPh>
    <phoneticPr fontId="2"/>
  </si>
  <si>
    <t>登録
番号</t>
    <rPh sb="0" eb="2">
      <t>トウロク</t>
    </rPh>
    <rPh sb="3" eb="5">
      <t>バンゴウ</t>
    </rPh>
    <phoneticPr fontId="2"/>
  </si>
  <si>
    <t>府県ｺｰﾄﾞ</t>
    <rPh sb="0" eb="2">
      <t>フケン</t>
    </rPh>
    <phoneticPr fontId="2"/>
  </si>
  <si>
    <t>秒</t>
    <rPh sb="0" eb="1">
      <t>ビョウ</t>
    </rPh>
    <phoneticPr fontId="2"/>
  </si>
  <si>
    <t>1/100</t>
    <phoneticPr fontId="2"/>
  </si>
  <si>
    <t>DATA用5桁</t>
    <rPh sb="4" eb="5">
      <t>ヨウ</t>
    </rPh>
    <rPh sb="6" eb="7">
      <t>ケタ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</si>
  <si>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必要事項を入力(所属情報等は男子のシートに入力)</t>
    </r>
    <rPh sb="1" eb="3">
      <t>モウシコミ</t>
    </rPh>
    <rPh sb="7" eb="9">
      <t>ヒツヨウ</t>
    </rPh>
    <rPh sb="9" eb="11">
      <t>ジコウ</t>
    </rPh>
    <rPh sb="12" eb="14">
      <t>ニュウリョク</t>
    </rPh>
    <rPh sb="15" eb="17">
      <t>ショゾク</t>
    </rPh>
    <rPh sb="17" eb="19">
      <t>ジョウホウ</t>
    </rPh>
    <rPh sb="19" eb="20">
      <t>トウ</t>
    </rPh>
    <rPh sb="21" eb="23">
      <t>ダンシ</t>
    </rPh>
    <rPh sb="28" eb="30">
      <t>ニュウリョク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</si>
  <si>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</si>
  <si>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taikai@haaa.jp</t>
    <phoneticPr fontId="2"/>
  </si>
  <si>
    <t>taikai@haaa.jp(メールでお問い合わせください）</t>
    <rPh sb="20" eb="21">
      <t>ト</t>
    </rPh>
    <rPh sb="22" eb="23">
      <t>ア</t>
    </rPh>
    <phoneticPr fontId="2"/>
  </si>
  <si>
    <t>大学一般</t>
    <rPh sb="0" eb="2">
      <t>ダイガク</t>
    </rPh>
    <rPh sb="2" eb="4">
      <t>イッパン</t>
    </rPh>
    <phoneticPr fontId="2"/>
  </si>
  <si>
    <t>登録団体名</t>
    <rPh sb="0" eb="2">
      <t>トウロク</t>
    </rPh>
    <rPh sb="2" eb="5">
      <t>ダンタイメイ</t>
    </rPh>
    <phoneticPr fontId="2"/>
  </si>
  <si>
    <t>県内・県外</t>
    <rPh sb="0" eb="2">
      <t>ケンナイ</t>
    </rPh>
    <rPh sb="3" eb="5">
      <t>ケンガイ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</si>
  <si>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</si>
  <si>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</si>
  <si>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登録</t>
    <rPh sb="0" eb="2">
      <t>トウロク</t>
    </rPh>
    <phoneticPr fontId="2"/>
  </si>
  <si>
    <t>陸協</t>
    <rPh sb="0" eb="1">
      <t>リク</t>
    </rPh>
    <rPh sb="1" eb="2">
      <t>キョウ</t>
    </rPh>
    <phoneticPr fontId="2"/>
  </si>
  <si>
    <t>都道府県陸協</t>
    <rPh sb="0" eb="4">
      <t>トドウフケン</t>
    </rPh>
    <rPh sb="4" eb="5">
      <t>リク</t>
    </rPh>
    <rPh sb="5" eb="6">
      <t>キョウ</t>
    </rPh>
    <phoneticPr fontId="1"/>
  </si>
  <si>
    <t>滋賀</t>
  </si>
  <si>
    <t>兵庫</t>
  </si>
  <si>
    <t>奈良</t>
  </si>
  <si>
    <t>和歌山</t>
  </si>
  <si>
    <t>京都</t>
  </si>
  <si>
    <t>大阪</t>
  </si>
  <si>
    <t>TEAM DB</t>
    <phoneticPr fontId="2"/>
  </si>
  <si>
    <t>所属
所在地</t>
    <rPh sb="0" eb="2">
      <t>ショゾク</t>
    </rPh>
    <rPh sb="3" eb="6">
      <t>ショザイチ</t>
    </rPh>
    <phoneticPr fontId="2"/>
  </si>
  <si>
    <t>都道府県</t>
    <rPh sb="0" eb="4">
      <t>トドウフケン</t>
    </rPh>
    <phoneticPr fontId="2"/>
  </si>
  <si>
    <t>ﾌﾟﾛｸﾞﾗﾑ</t>
    <phoneticPr fontId="2"/>
  </si>
  <si>
    <t>学年</t>
    <rPh sb="0" eb="2">
      <t>ガクネン</t>
    </rPh>
    <phoneticPr fontId="2"/>
  </si>
  <si>
    <t>M1</t>
    <phoneticPr fontId="2"/>
  </si>
  <si>
    <t>M2</t>
  </si>
  <si>
    <t>400mR
記録</t>
    <rPh sb="6" eb="8">
      <t>キロク</t>
    </rPh>
    <phoneticPr fontId="2"/>
  </si>
  <si>
    <t>〒651-1114 神戸市北区鈴蘭台西町４－１４－５</t>
    <phoneticPr fontId="2"/>
  </si>
  <si>
    <t>兵庫陸上競技協会情報委員会 藤田 和洋 宛 電話 090-4908-7110</t>
    <phoneticPr fontId="2"/>
  </si>
  <si>
    <t>07124</t>
    <phoneticPr fontId="2"/>
  </si>
  <si>
    <r>
      <t>ﾘﾚｰ種目</t>
    </r>
    <r>
      <rPr>
        <sz val="12"/>
        <rFont val="ＭＳ ゴシック"/>
        <family val="3"/>
        <charset val="128"/>
      </rPr>
      <t>(@\6000)</t>
    </r>
    <rPh sb="3" eb="5">
      <t>シュモク</t>
    </rPh>
    <phoneticPr fontId="2"/>
  </si>
  <si>
    <t>姓(半ｶﾅ)</t>
    <rPh sb="0" eb="1">
      <t>セイ</t>
    </rPh>
    <rPh sb="2" eb="3">
      <t>ハン</t>
    </rPh>
    <phoneticPr fontId="2"/>
  </si>
  <si>
    <t>名(半ｶﾅ)</t>
    <rPh sb="0" eb="1">
      <t>メイ</t>
    </rPh>
    <rPh sb="2" eb="3">
      <t>ハン</t>
    </rPh>
    <phoneticPr fontId="2"/>
  </si>
  <si>
    <t>共通やり投</t>
    <rPh sb="0" eb="2">
      <t>キョウツウ</t>
    </rPh>
    <rPh sb="4" eb="5">
      <t>トウ</t>
    </rPh>
    <phoneticPr fontId="2"/>
  </si>
  <si>
    <t>09324</t>
    <phoneticPr fontId="2"/>
  </si>
  <si>
    <t>オープン種目申込</t>
    <rPh sb="4" eb="6">
      <t>シュモク</t>
    </rPh>
    <phoneticPr fontId="2"/>
  </si>
  <si>
    <t>共通走高跳</t>
    <rPh sb="0" eb="2">
      <t>キョウツウ</t>
    </rPh>
    <rPh sb="2" eb="5">
      <t>ハシリタカトビ</t>
    </rPh>
    <phoneticPr fontId="2"/>
  </si>
  <si>
    <t>2025年3月7(金)-21日(金）17:00必着</t>
    <rPh sb="4" eb="5">
      <t>ネン</t>
    </rPh>
    <rPh sb="6" eb="7">
      <t>ガツ</t>
    </rPh>
    <rPh sb="9" eb="10">
      <t>キン</t>
    </rPh>
    <rPh sb="14" eb="15">
      <t>ニチ</t>
    </rPh>
    <rPh sb="16" eb="17">
      <t>キン</t>
    </rPh>
    <rPh sb="23" eb="25">
      <t>ヒッチャク</t>
    </rPh>
    <phoneticPr fontId="2"/>
  </si>
  <si>
    <t>大学・一般</t>
    <rPh sb="0" eb="2">
      <t>ダイガク</t>
    </rPh>
    <rPh sb="3" eb="5">
      <t>イッパン</t>
    </rPh>
    <phoneticPr fontId="2"/>
  </si>
  <si>
    <t>新
学年</t>
    <rPh sb="0" eb="1">
      <t>シン</t>
    </rPh>
    <rPh sb="2" eb="4">
      <t>ガクネン</t>
    </rPh>
    <phoneticPr fontId="2"/>
  </si>
  <si>
    <r>
      <t xml:space="preserve">①登録団体名・②申込責任者氏名・③緊急連絡用携帯番号 </t>
    </r>
    <r>
      <rPr>
        <sz val="18"/>
        <color indexed="10"/>
        <rFont val="ＭＳ Ｐゴシック"/>
        <family val="3"/>
        <charset val="128"/>
      </rPr>
      <t>を記載すること</t>
    </r>
    <rPh sb="1" eb="3">
      <t>トウロク</t>
    </rPh>
    <rPh sb="3" eb="6">
      <t>ダンタイメイ</t>
    </rPh>
    <rPh sb="8" eb="10">
      <t>モウシコミ</t>
    </rPh>
    <rPh sb="10" eb="13">
      <t>セキニンシャ</t>
    </rPh>
    <rPh sb="13" eb="15">
      <t>シメイ</t>
    </rPh>
    <rPh sb="17" eb="19">
      <t>キンキュウ</t>
    </rPh>
    <rPh sb="19" eb="21">
      <t>レンラク</t>
    </rPh>
    <rPh sb="21" eb="22">
      <t>ヨウ</t>
    </rPh>
    <rPh sb="22" eb="24">
      <t>ケイタイ</t>
    </rPh>
    <rPh sb="24" eb="26">
      <t>バンゴウ</t>
    </rPh>
    <rPh sb="28" eb="30">
      <t>キサイ</t>
    </rPh>
    <phoneticPr fontId="2"/>
  </si>
  <si>
    <t>兵庫リレー○○○</t>
    <rPh sb="0" eb="2">
      <t>ヒョウゴ</t>
    </rPh>
    <phoneticPr fontId="2"/>
  </si>
  <si>
    <r>
      <rPr>
        <sz val="14"/>
        <color indexed="10"/>
        <rFont val="ＭＳ Ｐゴシック"/>
        <family val="3"/>
        <charset val="128"/>
      </rPr>
      <t>○○○は登録団体名・大学名　</t>
    </r>
    <r>
      <rPr>
        <sz val="14"/>
        <rFont val="ＭＳ Ｐゴシック"/>
        <family val="3"/>
        <charset val="128"/>
      </rPr>
      <t>件名を空で送信しない</t>
    </r>
    <rPh sb="4" eb="6">
      <t>トウロク</t>
    </rPh>
    <rPh sb="6" eb="9">
      <t>ダンタイメイ</t>
    </rPh>
    <rPh sb="10" eb="13">
      <t>ダイガクメイ</t>
    </rPh>
    <rPh sb="14" eb="16">
      <t>ケンメイ</t>
    </rPh>
    <rPh sb="17" eb="18">
      <t>カラ</t>
    </rPh>
    <rPh sb="19" eb="21">
      <t>ソウシン</t>
    </rPh>
    <phoneticPr fontId="2"/>
  </si>
  <si>
    <t>所属団体住所</t>
    <rPh sb="0" eb="4">
      <t>ショゾクダンタイ</t>
    </rPh>
    <rPh sb="4" eb="6">
      <t>ジュウショ</t>
    </rPh>
    <phoneticPr fontId="2"/>
  </si>
  <si>
    <r>
      <t>このファイルを添付・ファイル名：［○○○.xlsx］とする　</t>
    </r>
    <r>
      <rPr>
        <sz val="18"/>
        <color indexed="10"/>
        <rFont val="ＭＳ Ｐゴシック"/>
        <family val="3"/>
        <charset val="128"/>
      </rPr>
      <t>○○○は団体名に変更</t>
    </r>
    <rPh sb="7" eb="9">
      <t>テンプ</t>
    </rPh>
    <rPh sb="14" eb="15">
      <t>メイ</t>
    </rPh>
    <rPh sb="34" eb="37">
      <t>ダンタイメイ</t>
    </rPh>
    <rPh sb="38" eb="40">
      <t>ヘンコウ</t>
    </rPh>
    <phoneticPr fontId="2"/>
  </si>
  <si>
    <t>ローマ字
姓</t>
    <rPh sb="3" eb="4">
      <t>ジ</t>
    </rPh>
    <rPh sb="5" eb="6">
      <t>セイ</t>
    </rPh>
    <phoneticPr fontId="2"/>
  </si>
  <si>
    <t>ローマ字
名</t>
    <rPh sb="3" eb="4">
      <t>ジ</t>
    </rPh>
    <rPh sb="5" eb="6">
      <t>メイ</t>
    </rPh>
    <phoneticPr fontId="2"/>
  </si>
  <si>
    <t>申込数</t>
    <rPh sb="0" eb="2">
      <t>モウシコミ</t>
    </rPh>
    <rPh sb="2" eb="3">
      <t>スウ</t>
    </rPh>
    <phoneticPr fontId="2"/>
  </si>
  <si>
    <t>N3</t>
    <phoneticPr fontId="2"/>
  </si>
  <si>
    <t>※３ オープン種目は近畿６府県の登録者</t>
    <rPh sb="7" eb="9">
      <t>シュモク</t>
    </rPh>
    <rPh sb="10" eb="12">
      <t>キンキ</t>
    </rPh>
    <rPh sb="13" eb="15">
      <t>フケン</t>
    </rPh>
    <rPh sb="16" eb="19">
      <t>トウロクシャ</t>
    </rPh>
    <phoneticPr fontId="2"/>
  </si>
  <si>
    <t>※４ 登録府県陸協を選択して下さい　→</t>
    <rPh sb="3" eb="5">
      <t>トウロク</t>
    </rPh>
    <rPh sb="5" eb="7">
      <t>フケン</t>
    </rPh>
    <rPh sb="7" eb="8">
      <t>リク</t>
    </rPh>
    <rPh sb="8" eb="9">
      <t>キョウ</t>
    </rPh>
    <rPh sb="10" eb="12">
      <t>センタク</t>
    </rPh>
    <rPh sb="14" eb="15">
      <t>クダ</t>
    </rPh>
    <phoneticPr fontId="2"/>
  </si>
  <si>
    <t>※１ リレーは県内登録団体(学生以外)</t>
    <rPh sb="7" eb="9">
      <t>ケンナイ</t>
    </rPh>
    <rPh sb="9" eb="11">
      <t>トウロク</t>
    </rPh>
    <rPh sb="11" eb="13">
      <t>ダンタイ</t>
    </rPh>
    <rPh sb="14" eb="16">
      <t>ガクセイ</t>
    </rPh>
    <rPh sb="16" eb="18">
      <t>イガイ</t>
    </rPh>
    <phoneticPr fontId="2"/>
  </si>
  <si>
    <t>※２ 学生のリレーは全員兵庫県登録者</t>
    <rPh sb="3" eb="5">
      <t>ガクセイ</t>
    </rPh>
    <rPh sb="10" eb="12">
      <t>ゼンイン</t>
    </rPh>
    <rPh sb="12" eb="14">
      <t>ヒョウゴ</t>
    </rPh>
    <rPh sb="14" eb="15">
      <t>ケン</t>
    </rPh>
    <rPh sb="15" eb="18">
      <t>トウロクシャ</t>
    </rPh>
    <phoneticPr fontId="2"/>
  </si>
  <si>
    <t>N3</t>
  </si>
  <si>
    <r>
      <t>②申込シートを</t>
    </r>
    <r>
      <rPr>
        <sz val="18"/>
        <color indexed="10"/>
        <rFont val="ＭＳ Ｐゴシック"/>
        <family val="3"/>
        <charset val="128"/>
      </rPr>
      <t>印刷</t>
    </r>
    <rPh sb="1" eb="3">
      <t>モウシコミ</t>
    </rPh>
    <rPh sb="7" eb="9">
      <t>インサツ</t>
    </rPh>
    <phoneticPr fontId="2"/>
  </si>
  <si>
    <r>
      <rPr>
        <sz val="14"/>
        <rFont val="HG丸ｺﾞｼｯｸM-PRO"/>
        <family val="3"/>
        <charset val="128"/>
      </rPr>
      <t xml:space="preserve">                                     </t>
    </r>
    <r>
      <rPr>
        <sz val="20"/>
        <rFont val="HG丸ｺﾞｼｯｸM-PRO"/>
        <family val="3"/>
        <charset val="128"/>
      </rPr>
      <t xml:space="preserve">
</t>
    </r>
    <r>
      <rPr>
        <sz val="16"/>
        <rFont val="HG丸ｺﾞｼｯｸM-PRO"/>
        <family val="3"/>
        <charset val="128"/>
      </rPr>
      <t>第74回兵庫リレーカーニバル　［大学・一般用］</t>
    </r>
    <rPh sb="38" eb="39">
      <t>ダイ</t>
    </rPh>
    <rPh sb="41" eb="42">
      <t>カイ</t>
    </rPh>
    <rPh sb="42" eb="44">
      <t>ヒョウゴ</t>
    </rPh>
    <rPh sb="54" eb="56">
      <t>ダイガク</t>
    </rPh>
    <rPh sb="57" eb="59">
      <t>イッパン</t>
    </rPh>
    <rPh sb="59" eb="60">
      <t>ヨウ</t>
    </rPh>
    <phoneticPr fontId="2"/>
  </si>
  <si>
    <t>標準記録突破者(2025年度)に限る</t>
    <rPh sb="0" eb="2">
      <t>ヒョウジュン</t>
    </rPh>
    <rPh sb="2" eb="4">
      <t>キロク</t>
    </rPh>
    <rPh sb="4" eb="6">
      <t>トッパ</t>
    </rPh>
    <rPh sb="6" eb="7">
      <t>シャ</t>
    </rPh>
    <rPh sb="12" eb="14">
      <t>ネンド</t>
    </rPh>
    <rPh sb="16" eb="17">
      <t>カギ</t>
    </rPh>
    <phoneticPr fontId="2"/>
  </si>
  <si>
    <t>2026年3月5(木)-20日(金）17:00必着</t>
    <rPh sb="4" eb="5">
      <t>ネン</t>
    </rPh>
    <rPh sb="6" eb="7">
      <t>ガツ</t>
    </rPh>
    <rPh sb="9" eb="10">
      <t>モク</t>
    </rPh>
    <rPh sb="14" eb="15">
      <t>ニチ</t>
    </rPh>
    <rPh sb="16" eb="17">
      <t>キン</t>
    </rPh>
    <rPh sb="23" eb="25">
      <t>ヒッチャク</t>
    </rPh>
    <phoneticPr fontId="2"/>
  </si>
  <si>
    <t>2026 第74回兵庫リレーカーニバル申込書</t>
    <rPh sb="19" eb="22">
      <t>モウシコミショ</t>
    </rPh>
    <phoneticPr fontId="2"/>
  </si>
  <si>
    <t>共通三段跳</t>
    <rPh sb="0" eb="2">
      <t>キョウツウ</t>
    </rPh>
    <rPh sb="2" eb="5">
      <t>サンダント</t>
    </rPh>
    <phoneticPr fontId="2"/>
  </si>
  <si>
    <t>07424</t>
    <phoneticPr fontId="2"/>
  </si>
  <si>
    <t>赤色のセル部分(ﾘﾚｰ記録以外)は男子申込書に入力または選択してください。
赤色部分(未入力項目)のないように注意してください。</t>
    <rPh sb="0" eb="2">
      <t>アカイロ</t>
    </rPh>
    <rPh sb="5" eb="7">
      <t>ブブン</t>
    </rPh>
    <rPh sb="11" eb="13">
      <t>キロク</t>
    </rPh>
    <rPh sb="13" eb="15">
      <t>イガイ</t>
    </rPh>
    <rPh sb="17" eb="19">
      <t>ダンシ</t>
    </rPh>
    <rPh sb="19" eb="21">
      <t>モウシコミ</t>
    </rPh>
    <rPh sb="21" eb="22">
      <t>ショ</t>
    </rPh>
    <rPh sb="23" eb="25">
      <t>ニュウリョク</t>
    </rPh>
    <rPh sb="28" eb="30">
      <t>センタク</t>
    </rPh>
    <rPh sb="38" eb="40">
      <t>アカイロ</t>
    </rPh>
    <rPh sb="40" eb="42">
      <t>ブブン</t>
    </rPh>
    <rPh sb="43" eb="46">
      <t>ミニュウリョク</t>
    </rPh>
    <rPh sb="46" eb="48">
      <t>コウモク</t>
    </rPh>
    <rPh sb="55" eb="57">
      <t>チュウイ</t>
    </rPh>
    <phoneticPr fontId="2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</si>
  <si>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カキ</t>
    </rPh>
    <rPh sb="19" eb="21">
      <t>テンプ</t>
    </rPh>
    <rPh sb="27" eb="29">
      <t>ソウフ</t>
    </rPh>
    <phoneticPr fontId="2"/>
  </si>
  <si>
    <t>D1</t>
    <phoneticPr fontId="2"/>
  </si>
  <si>
    <t>D2</t>
    <phoneticPr fontId="2"/>
  </si>
  <si>
    <t>D3</t>
    <phoneticPr fontId="2"/>
  </si>
  <si>
    <t>D4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</si>
</sst>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&quot;種&quot;&quot;目&quot;"/>
    <numFmt numFmtId="177" formatCode="#,##0\ﾁ\ｰ\ﾑ"/>
    <numFmt numFmtId="178" formatCode="###\-####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indexed="13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5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2" borderId="15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6" fontId="3" fillId="0" borderId="2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5" xfId="0" quotePrefix="1" applyFont="1" applyBorder="1" applyAlignment="1">
      <alignment horizontal="distributed" vertical="center" wrapText="1"/>
    </xf>
    <xf numFmtId="0" fontId="3" fillId="0" borderId="6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6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>
      <alignment vertical="center"/>
    </xf>
    <xf numFmtId="0" fontId="12" fillId="0" borderId="24" xfId="0" applyFont="1" applyBorder="1">
      <alignment vertical="center"/>
    </xf>
    <xf numFmtId="0" fontId="17" fillId="0" borderId="23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0" borderId="0" xfId="2">
      <alignment vertical="center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6" fontId="3" fillId="0" borderId="20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6" borderId="2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8" fillId="0" borderId="0" xfId="0" quotePrefix="1" applyFont="1">
      <alignment vertical="center"/>
    </xf>
    <xf numFmtId="0" fontId="12" fillId="0" borderId="0" xfId="0" applyFont="1">
      <alignment vertical="center"/>
    </xf>
    <xf numFmtId="6" fontId="12" fillId="0" borderId="0" xfId="1" applyFont="1" applyBorder="1" applyAlignment="1" applyProtection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3" fillId="9" borderId="33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3" fillId="0" borderId="37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6" fontId="17" fillId="0" borderId="23" xfId="1" applyFont="1" applyBorder="1" applyAlignment="1" applyProtection="1">
      <alignment horizontal="right" vertical="center" shrinkToFit="1"/>
      <protection locked="0"/>
    </xf>
    <xf numFmtId="0" fontId="3" fillId="10" borderId="39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41" xfId="0" applyFont="1" applyBorder="1">
      <alignment vertical="center"/>
    </xf>
    <xf numFmtId="0" fontId="3" fillId="2" borderId="42" xfId="0" applyFont="1" applyFill="1" applyBorder="1">
      <alignment vertical="center"/>
    </xf>
    <xf numFmtId="6" fontId="17" fillId="0" borderId="23" xfId="1" applyFont="1" applyBorder="1" applyAlignment="1" applyProtection="1">
      <alignment horizontal="right" vertical="center" shrinkToFit="1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23" fillId="11" borderId="52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/>
    </xf>
    <xf numFmtId="49" fontId="6" fillId="12" borderId="2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9" fontId="6" fillId="9" borderId="2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17" fillId="0" borderId="5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 wrapText="1"/>
    </xf>
    <xf numFmtId="0" fontId="3" fillId="2" borderId="22" xfId="0" applyFont="1" applyFill="1" applyBorder="1">
      <alignment vertical="center"/>
    </xf>
    <xf numFmtId="0" fontId="3" fillId="2" borderId="54" xfId="0" applyFont="1" applyFill="1" applyBorder="1">
      <alignment vertical="center"/>
    </xf>
    <xf numFmtId="0" fontId="9" fillId="7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center" vertical="center"/>
      <protection locked="0"/>
    </xf>
    <xf numFmtId="6" fontId="12" fillId="0" borderId="23" xfId="1" applyFont="1" applyBorder="1" applyAlignment="1" applyProtection="1">
      <alignment horizontal="center" vertical="center" wrapText="1"/>
    </xf>
    <xf numFmtId="6" fontId="12" fillId="0" borderId="24" xfId="1" applyFont="1" applyBorder="1" applyAlignment="1" applyProtection="1">
      <alignment horizontal="center" vertical="center" wrapText="1"/>
    </xf>
    <xf numFmtId="6" fontId="12" fillId="0" borderId="8" xfId="1" applyFont="1" applyBorder="1" applyAlignment="1" applyProtection="1">
      <alignment horizontal="center" vertical="center" wrapText="1"/>
    </xf>
    <xf numFmtId="0" fontId="6" fillId="6" borderId="3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0" borderId="4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6" fontId="17" fillId="0" borderId="8" xfId="1" applyFont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6" fontId="17" fillId="0" borderId="8" xfId="0" applyNumberFormat="1" applyFont="1" applyBorder="1" applyAlignment="1">
      <alignment horizontal="center" vertical="center" wrapText="1"/>
    </xf>
    <xf numFmtId="0" fontId="32" fillId="0" borderId="39" xfId="0" applyFont="1" applyBorder="1" applyAlignment="1">
      <alignment horizontal="left" vertical="center" indent="1" shrinkToFit="1"/>
    </xf>
    <xf numFmtId="0" fontId="32" fillId="0" borderId="0" xfId="0" applyFont="1" applyAlignment="1">
      <alignment horizontal="left" vertical="center" indent="1" shrinkToFit="1"/>
    </xf>
    <xf numFmtId="0" fontId="32" fillId="0" borderId="40" xfId="0" applyFont="1" applyBorder="1" applyAlignment="1">
      <alignment horizontal="left" vertical="center" indent="1" shrinkToFit="1"/>
    </xf>
    <xf numFmtId="0" fontId="3" fillId="6" borderId="33" xfId="0" applyFont="1" applyFill="1" applyBorder="1" applyAlignment="1">
      <alignment horizontal="center" vertical="center" textRotation="255"/>
    </xf>
    <xf numFmtId="0" fontId="3" fillId="6" borderId="31" xfId="0" applyFont="1" applyFill="1" applyBorder="1" applyAlignment="1">
      <alignment horizontal="center" vertical="center" textRotation="255"/>
    </xf>
    <xf numFmtId="0" fontId="12" fillId="0" borderId="3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49" fontId="12" fillId="0" borderId="36" xfId="0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49" fontId="12" fillId="0" borderId="24" xfId="0" applyNumberFormat="1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178" fontId="12" fillId="0" borderId="36" xfId="0" applyNumberFormat="1" applyFont="1" applyBorder="1" applyAlignment="1" applyProtection="1">
      <alignment horizontal="center" vertical="center"/>
      <protection locked="0"/>
    </xf>
    <xf numFmtId="178" fontId="12" fillId="0" borderId="23" xfId="0" applyNumberFormat="1" applyFont="1" applyBorder="1" applyAlignment="1" applyProtection="1">
      <alignment horizontal="center" vertical="center"/>
      <protection locked="0"/>
    </xf>
    <xf numFmtId="0" fontId="36" fillId="0" borderId="36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177" fontId="17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6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33" fillId="11" borderId="36" xfId="0" applyFont="1" applyFill="1" applyBorder="1" applyAlignment="1">
      <alignment horizontal="center" vertical="center"/>
    </xf>
    <xf numFmtId="0" fontId="33" fillId="11" borderId="23" xfId="0" applyFont="1" applyFill="1" applyBorder="1" applyAlignment="1">
      <alignment horizontal="center" vertical="center"/>
    </xf>
    <xf numFmtId="0" fontId="33" fillId="11" borderId="24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/>
    </xf>
    <xf numFmtId="178" fontId="12" fillId="0" borderId="23" xfId="0" applyNumberFormat="1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23" xfId="0" applyFont="1" applyFill="1" applyBorder="1" applyAlignment="1">
      <alignment horizontal="center" vertical="center"/>
    </xf>
    <xf numFmtId="0" fontId="23" fillId="11" borderId="24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3" fillId="9" borderId="33" xfId="0" applyFont="1" applyFill="1" applyBorder="1" applyAlignment="1">
      <alignment horizontal="center" vertical="center" textRotation="255"/>
    </xf>
    <xf numFmtId="0" fontId="3" fillId="9" borderId="31" xfId="0" applyFont="1" applyFill="1" applyBorder="1" applyAlignment="1">
      <alignment horizontal="center" vertical="center" textRotation="255"/>
    </xf>
    <xf numFmtId="0" fontId="3" fillId="5" borderId="3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_Book1" xfId="2" xr:uid="{4FF51EB4-ABD5-4106-A637-2AA1005C32F6}"/>
  </cellStyles>
  <dxfs count="11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99CC"/>
      <color rgb="FFFF6699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403860</xdr:colOff>
      <xdr:row>0</xdr:row>
      <xdr:rowOff>0</xdr:rowOff>
    </xdr:from>
    <xdr:to>
      <xdr:col>5</xdr:col>
      <xdr:colOff>586740</xdr:colOff>
      <xdr:row>0</xdr:row>
      <xdr:rowOff>487680</xdr:rowOff>
    </xdr:to>
    <xdr:pic>
      <xdr:nvPicPr>
        <xdr:cNvPr id="4191" name="図 3">
          <a:extLst>
            <a:ext uri="{FF2B5EF4-FFF2-40B4-BE49-F238E27FC236}">
              <a16:creationId xmlns:a16="http://schemas.microsoft.com/office/drawing/2014/main" id="{C1782A65-2762-2E35-1647-EF55792A4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0"/>
          <a:ext cx="26212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213882</xdr:colOff>
      <xdr:row>0</xdr:row>
      <xdr:rowOff>106680</xdr:rowOff>
    </xdr:from>
    <xdr:to>
      <xdr:col>12</xdr:col>
      <xdr:colOff>381000</xdr:colOff>
      <xdr:row>2</xdr:row>
      <xdr:rowOff>137160</xdr:rowOff>
    </xdr:to>
    <xdr:pic>
      <xdr:nvPicPr>
        <xdr:cNvPr id="4193" name="図 3">
          <a:extLst>
            <a:ext uri="{FF2B5EF4-FFF2-40B4-BE49-F238E27FC236}">
              <a16:creationId xmlns:a16="http://schemas.microsoft.com/office/drawing/2014/main" id="{5EEE07A8-3726-BB27-8338-37E261D90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9022" y="106680"/>
          <a:ext cx="776718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563880</xdr:colOff>
      <xdr:row>0</xdr:row>
      <xdr:rowOff>251460</xdr:rowOff>
    </xdr:from>
    <xdr:to>
      <xdr:col>11</xdr:col>
      <xdr:colOff>144780</xdr:colOff>
      <xdr:row>2</xdr:row>
      <xdr:rowOff>26205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68E6484-84E1-B4BB-9412-D727E7A0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251460"/>
          <a:ext cx="800100" cy="7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107950</xdr:colOff>
      <xdr:row>13</xdr:row>
      <xdr:rowOff>19050</xdr:rowOff>
    </xdr:from>
    <xdr:to>
      <xdr:col>51</xdr:col>
      <xdr:colOff>601980</xdr:colOff>
      <xdr:row>16</xdr:row>
      <xdr:rowOff>167640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7F8FB7E-BAB6-4B8C-14A2-CCF78832B4EA}"/>
            </a:ext>
          </a:extLst>
        </xdr:cNvPr>
        <xdr:cNvSpPr/>
      </xdr:nvSpPr>
      <xdr:spPr>
        <a:xfrm>
          <a:off x="13100050" y="4110990"/>
          <a:ext cx="1728470" cy="1245870"/>
        </a:xfrm>
        <a:prstGeom prst="wedgeRoundRectCallout">
          <a:avLst>
            <a:gd name="adj1" fmla="val -53796"/>
            <a:gd name="adj2" fmla="val 379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学連登録者は各自の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登録都道府県を選択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実業団・クラブは団体登録先の都道府県を選択（全員同じ都道府県）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157480</xdr:colOff>
      <xdr:row>14</xdr:row>
      <xdr:rowOff>0</xdr:rowOff>
    </xdr:from>
    <xdr:to>
      <xdr:col>43</xdr:col>
      <xdr:colOff>91440</xdr:colOff>
      <xdr:row>17</xdr:row>
      <xdr:rowOff>160020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5D62EBF-4F72-EA19-6FC7-693E22B1E182}"/>
            </a:ext>
          </a:extLst>
        </xdr:cNvPr>
        <xdr:cNvSpPr/>
      </xdr:nvSpPr>
      <xdr:spPr>
        <a:xfrm>
          <a:off x="13149580" y="4457700"/>
          <a:ext cx="1785620" cy="1257300"/>
        </a:xfrm>
        <a:prstGeom prst="wedgeRoundRectCallout">
          <a:avLst>
            <a:gd name="adj1" fmla="val -53796"/>
            <a:gd name="adj2" fmla="val 379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学連登録者は各自の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登録都道府県を選択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実業団・クラブは団体登録先の都道府県を選択（全員同じ都道府県）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9394-F68B-4BA6-B8EC-6B919F9AFD33}">
  <sheetPr codeName="Sheet1">
    <tabColor indexed="13"/>
  </sheetPr>
  <dimension ref="A1:J19"/>
  <sheetViews>
    <sheetView showGridLines="0" showRowColHeaders="0" tabSelected="1" workbookViewId="0">
      <selection activeCell="N2" sqref="N2"/>
    </sheetView>
  </sheetViews>
  <sheetFormatPr defaultRowHeight="13.2"/>
  <cols>
    <col min="4" max="4" width="10.77734375" customWidth="1"/>
  </cols>
  <sheetData>
    <row r="1" spans="1:10" s="125" customFormat="1" ht="56.1" customHeight="1">
      <c r="A1" s="166" t="s">
        <v>134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23.4">
      <c r="A2" s="165" t="s">
        <v>9</v>
      </c>
      <c r="B2" s="165"/>
      <c r="C2" s="165"/>
      <c r="D2" s="165"/>
      <c r="E2" s="165"/>
      <c r="F2" s="165"/>
      <c r="G2" s="165"/>
      <c r="H2" s="165"/>
      <c r="I2" s="165"/>
    </row>
    <row r="3" spans="1:10" ht="23.4">
      <c r="A3" s="165" t="s">
        <v>8</v>
      </c>
      <c r="B3" s="165"/>
      <c r="C3" s="165"/>
      <c r="D3" s="165"/>
      <c r="E3" s="165"/>
      <c r="F3" s="165"/>
      <c r="G3" s="165"/>
      <c r="H3" s="165"/>
      <c r="I3" s="165"/>
    </row>
    <row r="4" spans="1:10" ht="21">
      <c r="B4" s="2" t="s">
        <v>80</v>
      </c>
    </row>
    <row r="5" spans="1:10" ht="21" hidden="1">
      <c r="B5" s="2" t="s">
        <v>133</v>
      </c>
    </row>
    <row r="6" spans="1:10" ht="21" hidden="1">
      <c r="B6" s="2" t="s">
        <v>7</v>
      </c>
    </row>
    <row r="7" spans="1:10" ht="19.2" hidden="1">
      <c r="C7" s="126" t="s">
        <v>6</v>
      </c>
      <c r="D7" s="1" t="s">
        <v>106</v>
      </c>
    </row>
    <row r="8" spans="1:10" ht="19.2" hidden="1">
      <c r="D8" s="1" t="s">
        <v>107</v>
      </c>
    </row>
    <row r="9" spans="1:10" ht="4.05" hidden="1" customHeight="1">
      <c r="D9" s="1"/>
    </row>
    <row r="10" spans="1:10" ht="21" hidden="1">
      <c r="C10" s="164" t="s">
        <v>116</v>
      </c>
      <c r="D10" s="164"/>
      <c r="E10" s="164"/>
      <c r="F10" s="164"/>
      <c r="G10" s="164"/>
      <c r="H10" s="164"/>
      <c r="I10" s="164"/>
    </row>
    <row r="11" spans="1:10" ht="21">
      <c r="B11" s="2" t="s">
        <v>141</v>
      </c>
    </row>
    <row r="12" spans="1:10" ht="16.2">
      <c r="B12" s="3" t="s">
        <v>15</v>
      </c>
    </row>
    <row r="13" spans="1:10" ht="21">
      <c r="B13" s="1"/>
      <c r="C13" s="126" t="s">
        <v>5</v>
      </c>
      <c r="E13" s="2" t="s">
        <v>120</v>
      </c>
      <c r="H13" s="126" t="s">
        <v>121</v>
      </c>
    </row>
    <row r="14" spans="1:10" ht="21">
      <c r="C14" s="126" t="s">
        <v>4</v>
      </c>
      <c r="E14" s="108" t="s">
        <v>82</v>
      </c>
    </row>
    <row r="15" spans="1:10" ht="21">
      <c r="C15" s="126" t="s">
        <v>44</v>
      </c>
      <c r="E15" s="2" t="s">
        <v>119</v>
      </c>
    </row>
    <row r="16" spans="1:10" ht="21">
      <c r="C16" s="126" t="s">
        <v>45</v>
      </c>
      <c r="E16" s="2" t="s">
        <v>123</v>
      </c>
    </row>
    <row r="17" spans="3:9" ht="21">
      <c r="C17" s="126" t="s">
        <v>74</v>
      </c>
      <c r="E17" s="2" t="s">
        <v>135</v>
      </c>
    </row>
    <row r="18" spans="3:9" ht="21">
      <c r="C18" s="1" t="s">
        <v>81</v>
      </c>
      <c r="E18" s="108" t="s">
        <v>83</v>
      </c>
    </row>
    <row r="19" spans="3:9" ht="21">
      <c r="C19" s="164" t="s">
        <v>136</v>
      </c>
      <c r="D19" s="164"/>
      <c r="E19" s="164"/>
      <c r="F19" s="164"/>
      <c r="G19" s="164"/>
      <c r="H19" s="164"/>
      <c r="I19" s="164"/>
    </row>
  </sheetData>
  <sheetProtection sheet="1" selectLockedCells="1"/>
  <mergeCells count="5">
    <mergeCell ref="C19:I19"/>
    <mergeCell ref="A2:I2"/>
    <mergeCell ref="A3:I3"/>
    <mergeCell ref="C10:I10"/>
    <mergeCell ref="A1:J1"/>
  </mergeCells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4A35-75FA-4A4B-85BA-0D4EE4AE134B}">
  <sheetPr codeName="Sheet2">
    <tabColor indexed="15"/>
  </sheetPr>
  <dimension ref="A1:AW94"/>
  <sheetViews>
    <sheetView showGridLines="0" showRowColHeaders="0" view="pageBreakPreview" zoomScaleNormal="100" zoomScaleSheetLayoutView="100" workbookViewId="0">
      <selection activeCell="E7" sqref="E7:I7"/>
    </sheetView>
  </sheetViews>
  <sheetFormatPr defaultColWidth="9" defaultRowHeight="13.2"/>
  <cols>
    <col min="1" max="1" width="11.77734375" style="4" customWidth="1"/>
    <col min="2" max="4" width="9" style="4"/>
    <col min="5" max="5" width="9.44140625" style="4" bestFit="1" customWidth="1"/>
    <col min="6" max="8" width="9" style="4"/>
    <col min="9" max="9" width="5.44140625" style="4" bestFit="1" customWidth="1"/>
    <col min="10" max="10" width="7.44140625" style="4" bestFit="1" customWidth="1"/>
    <col min="11" max="11" width="13.88671875" style="4" bestFit="1" customWidth="1"/>
    <col min="12" max="14" width="3.6640625" style="4" customWidth="1"/>
    <col min="15" max="15" width="16.6640625" style="4" customWidth="1"/>
    <col min="16" max="18" width="3.6640625" style="4" customWidth="1"/>
    <col min="19" max="19" width="10.77734375" style="4" customWidth="1"/>
    <col min="20" max="22" width="3.6640625" style="4" customWidth="1"/>
    <col min="23" max="23" width="10.77734375" style="4" customWidth="1"/>
    <col min="24" max="26" width="3.6640625" style="4" customWidth="1"/>
    <col min="27" max="27" width="3.77734375" style="4" customWidth="1"/>
    <col min="28" max="28" width="5.77734375" style="4" customWidth="1"/>
    <col min="29" max="29" width="9" style="4" hidden="1" customWidth="1"/>
    <col min="30" max="30" width="8.44140625" style="4" hidden="1" customWidth="1"/>
    <col min="31" max="31" width="10.44140625" style="4" hidden="1" customWidth="1"/>
    <col min="32" max="32" width="27.109375" style="4" hidden="1" customWidth="1"/>
    <col min="33" max="33" width="22.6640625" style="4" hidden="1" customWidth="1"/>
    <col min="34" max="34" width="23.77734375" style="4" hidden="1" customWidth="1"/>
    <col min="35" max="35" width="10.5546875" style="4" hidden="1" customWidth="1"/>
    <col min="36" max="37" width="10.44140625" style="4" hidden="1" customWidth="1"/>
    <col min="38" max="39" width="15" style="4" hidden="1" customWidth="1"/>
    <col min="40" max="41" width="9" style="4" hidden="1" customWidth="1"/>
    <col min="42" max="44" width="2.44140625" style="4" hidden="1" customWidth="1"/>
    <col min="45" max="46" width="7.44140625" style="4" hidden="1" customWidth="1"/>
    <col min="47" max="47" width="11.6640625" style="4" hidden="1" customWidth="1"/>
    <col min="48" max="49" width="9" style="4" hidden="1" customWidth="1"/>
    <col min="50" max="16384" width="9" style="4"/>
  </cols>
  <sheetData>
    <row r="1" spans="1:49" ht="50.1" customHeight="1">
      <c r="A1" s="217" t="s">
        <v>19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105"/>
    </row>
    <row r="2" spans="1:49" ht="15" customHeight="1">
      <c r="A2" s="224" t="s">
        <v>117</v>
      </c>
      <c r="B2" s="224"/>
      <c r="C2" s="219" t="s">
        <v>52</v>
      </c>
      <c r="D2" s="219"/>
      <c r="N2" s="220" t="s">
        <v>10</v>
      </c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106"/>
    </row>
    <row r="3" spans="1:49" ht="15" customHeight="1">
      <c r="A3" s="224"/>
      <c r="B3" s="224"/>
      <c r="C3" s="221" t="s">
        <v>11</v>
      </c>
      <c r="D3" s="221"/>
    </row>
    <row r="4" spans="1:49" ht="45" customHeight="1">
      <c r="A4" s="223" t="s">
        <v>68</v>
      </c>
      <c r="B4" s="223"/>
      <c r="C4" s="222"/>
      <c r="D4" s="222"/>
      <c r="E4" s="225" t="s">
        <v>137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49" ht="23.4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104"/>
    </row>
    <row r="6" spans="1:49" ht="13.8" thickBot="1">
      <c r="B6" s="238" t="s">
        <v>11</v>
      </c>
      <c r="C6" s="239"/>
      <c r="D6" s="117"/>
      <c r="E6" s="229" t="s">
        <v>85</v>
      </c>
      <c r="F6" s="230"/>
      <c r="G6" s="230"/>
      <c r="H6" s="230"/>
      <c r="I6" s="231"/>
      <c r="J6" s="229" t="s">
        <v>42</v>
      </c>
      <c r="K6" s="231"/>
      <c r="L6" s="243" t="s">
        <v>86</v>
      </c>
      <c r="M6" s="244"/>
      <c r="N6" s="245"/>
      <c r="P6" s="229" t="s">
        <v>0</v>
      </c>
      <c r="Q6" s="230"/>
      <c r="R6" s="230"/>
      <c r="S6" s="231"/>
      <c r="T6" s="229" t="s">
        <v>1</v>
      </c>
      <c r="U6" s="230"/>
      <c r="V6" s="230"/>
      <c r="W6" s="231"/>
      <c r="X6" s="227"/>
      <c r="Y6" s="228"/>
      <c r="Z6" s="228"/>
      <c r="AC6" s="38"/>
    </row>
    <row r="7" spans="1:49" ht="30" customHeight="1" thickBot="1">
      <c r="A7" s="111" t="s">
        <v>61</v>
      </c>
      <c r="B7" s="233"/>
      <c r="C7" s="234"/>
      <c r="D7" s="141" t="s">
        <v>41</v>
      </c>
      <c r="E7" s="235"/>
      <c r="F7" s="236"/>
      <c r="G7" s="236"/>
      <c r="H7" s="236"/>
      <c r="I7" s="237"/>
      <c r="J7" s="235"/>
      <c r="K7" s="237"/>
      <c r="L7" s="235"/>
      <c r="M7" s="236"/>
      <c r="N7" s="237"/>
      <c r="O7" s="103" t="s">
        <v>60</v>
      </c>
      <c r="P7" s="240"/>
      <c r="Q7" s="241"/>
      <c r="R7" s="241"/>
      <c r="S7" s="241"/>
      <c r="T7" s="242"/>
      <c r="U7" s="169"/>
      <c r="V7" s="169"/>
      <c r="W7" s="169"/>
      <c r="X7" s="227"/>
      <c r="Y7" s="228"/>
      <c r="Z7" s="228"/>
      <c r="AC7" s="39"/>
    </row>
    <row r="8" spans="1:49" ht="13.5" customHeight="1">
      <c r="E8" s="116" t="s">
        <v>100</v>
      </c>
      <c r="F8" s="203" t="s">
        <v>122</v>
      </c>
      <c r="G8" s="204"/>
      <c r="H8" s="204"/>
      <c r="I8" s="204"/>
      <c r="J8" s="204"/>
      <c r="K8" s="204"/>
      <c r="L8" s="204"/>
      <c r="M8" s="204"/>
      <c r="N8" s="204"/>
      <c r="O8" s="205"/>
      <c r="P8" s="206" t="s">
        <v>13</v>
      </c>
      <c r="Q8" s="207"/>
      <c r="R8" s="207"/>
      <c r="S8" s="208"/>
      <c r="T8" s="200" t="s">
        <v>12</v>
      </c>
      <c r="U8" s="201"/>
      <c r="V8" s="201"/>
      <c r="W8" s="202"/>
    </row>
    <row r="9" spans="1:49" ht="30" customHeight="1">
      <c r="A9" s="40" t="s">
        <v>29</v>
      </c>
      <c r="B9" s="198"/>
      <c r="C9" s="199"/>
      <c r="D9" s="115" t="s">
        <v>99</v>
      </c>
      <c r="E9" s="119"/>
      <c r="F9" s="195"/>
      <c r="G9" s="196"/>
      <c r="H9" s="196"/>
      <c r="I9" s="196"/>
      <c r="J9" s="196"/>
      <c r="K9" s="196"/>
      <c r="L9" s="196"/>
      <c r="M9" s="196"/>
      <c r="N9" s="196"/>
      <c r="O9" s="197"/>
      <c r="P9" s="192"/>
      <c r="Q9" s="193"/>
      <c r="R9" s="193"/>
      <c r="S9" s="194"/>
      <c r="T9" s="192"/>
      <c r="U9" s="193"/>
      <c r="V9" s="193"/>
      <c r="W9" s="194"/>
    </row>
    <row r="10" spans="1:49" ht="13.8" thickBot="1">
      <c r="D10" s="38"/>
      <c r="AE10" s="4" t="s">
        <v>98</v>
      </c>
    </row>
    <row r="11" spans="1:49" ht="30" customHeight="1" thickBot="1">
      <c r="A11" s="156"/>
      <c r="B11" s="188" t="s">
        <v>28</v>
      </c>
      <c r="C11" s="189"/>
      <c r="D11" s="190"/>
      <c r="E11" s="191" t="str">
        <f>IF(L7="","県内・県外 未入力、選択してください",IF(L7="県内","ｵｰﾌﾟﾝ県内(@\2000)","ｵｰﾌﾟﾝ県外(@\3000)"))</f>
        <v>県内・県外 未入力、選択してください</v>
      </c>
      <c r="F11" s="191"/>
      <c r="G11" s="191"/>
      <c r="H11" s="191"/>
      <c r="I11" s="191"/>
      <c r="J11" s="179" t="s">
        <v>109</v>
      </c>
      <c r="K11" s="179"/>
      <c r="L11" s="179" t="s">
        <v>73</v>
      </c>
      <c r="M11" s="179"/>
      <c r="N11" s="179"/>
      <c r="O11" s="179"/>
      <c r="P11" s="181" t="s">
        <v>62</v>
      </c>
      <c r="Q11" s="181"/>
      <c r="R11" s="181"/>
      <c r="S11" s="181"/>
      <c r="T11" s="179" t="s">
        <v>63</v>
      </c>
      <c r="U11" s="179"/>
      <c r="V11" s="179"/>
      <c r="W11" s="107">
        <v>3</v>
      </c>
      <c r="X11" s="49" t="s">
        <v>64</v>
      </c>
      <c r="Y11" s="169"/>
      <c r="Z11" s="169"/>
      <c r="AA11" s="50" t="s">
        <v>65</v>
      </c>
      <c r="AB11" s="109"/>
      <c r="AE11" s="35">
        <f>B7</f>
        <v>0</v>
      </c>
      <c r="AF11" s="36">
        <f>E7</f>
        <v>0</v>
      </c>
      <c r="AG11" s="36">
        <f>J7</f>
        <v>0</v>
      </c>
      <c r="AH11" s="36" t="str">
        <f>P7&amp;"  "&amp;T7</f>
        <v xml:space="preserve">  </v>
      </c>
      <c r="AI11" s="36">
        <f>P9</f>
        <v>0</v>
      </c>
      <c r="AJ11" s="36">
        <f>T9</f>
        <v>0</v>
      </c>
      <c r="AK11" s="37">
        <f>P12</f>
        <v>0</v>
      </c>
      <c r="AL11" s="36">
        <f>D12</f>
        <v>0</v>
      </c>
      <c r="AM11" s="36">
        <f>E12</f>
        <v>0</v>
      </c>
      <c r="AN11" s="36">
        <f>J12</f>
        <v>0</v>
      </c>
      <c r="AO11" s="37">
        <f>L12</f>
        <v>0</v>
      </c>
      <c r="AP11" s="35">
        <f>女子申込!D12</f>
        <v>0</v>
      </c>
      <c r="AQ11" s="36">
        <f>女子申込!E12</f>
        <v>0</v>
      </c>
      <c r="AR11" s="36">
        <f>女子申込!J12</f>
        <v>0</v>
      </c>
      <c r="AS11" s="95">
        <f>女子申込!L12</f>
        <v>0</v>
      </c>
      <c r="AT11" s="36" t="str">
        <f>W11&amp;"月"&amp;Y11&amp;"日"</f>
        <v>3月日</v>
      </c>
      <c r="AU11" s="96" t="str">
        <f>W12&amp;"郵便局"</f>
        <v>郵便局</v>
      </c>
      <c r="AV11" s="118">
        <f>E9</f>
        <v>0</v>
      </c>
      <c r="AW11" s="118" t="e">
        <f>VLOOKUP(AV11,$K$39:$L$44,2,FALSE)</f>
        <v>#N/A</v>
      </c>
    </row>
    <row r="12" spans="1:49" ht="30" customHeight="1">
      <c r="A12" s="20"/>
      <c r="B12" s="212" t="s">
        <v>17</v>
      </c>
      <c r="C12" s="212"/>
      <c r="D12" s="20">
        <f>COUNT(AC16:AC35)</f>
        <v>0</v>
      </c>
      <c r="E12" s="213">
        <f>COUNTA(K16:K35)</f>
        <v>0</v>
      </c>
      <c r="F12" s="213"/>
      <c r="G12" s="213"/>
      <c r="H12" s="213"/>
      <c r="I12" s="213"/>
      <c r="J12" s="216">
        <f>IF(COUNTIF(J16:J35,"○")&gt;=4,1,0)</f>
        <v>0</v>
      </c>
      <c r="K12" s="216"/>
      <c r="L12" s="180">
        <f>IF(L7="県内",E12*2000,E12*3000)+J12*6000+A12*4000</f>
        <v>0</v>
      </c>
      <c r="M12" s="180"/>
      <c r="N12" s="180"/>
      <c r="O12" s="180"/>
      <c r="P12" s="182">
        <f>L12+女子申込!L12</f>
        <v>0</v>
      </c>
      <c r="Q12" s="182"/>
      <c r="R12" s="182"/>
      <c r="S12" s="182"/>
      <c r="T12" s="172" t="s">
        <v>67</v>
      </c>
      <c r="U12" s="172"/>
      <c r="V12" s="172"/>
      <c r="W12" s="127"/>
      <c r="X12" s="170" t="s">
        <v>66</v>
      </c>
      <c r="Y12" s="170"/>
      <c r="Z12" s="170"/>
      <c r="AA12" s="171"/>
      <c r="AB12" s="110"/>
    </row>
    <row r="13" spans="1:49" ht="13.5" customHeight="1">
      <c r="C13" s="210" t="s">
        <v>105</v>
      </c>
      <c r="D13" s="98" t="s">
        <v>2</v>
      </c>
      <c r="E13" s="80" t="s">
        <v>77</v>
      </c>
      <c r="F13" s="80" t="s">
        <v>78</v>
      </c>
      <c r="G13" s="152"/>
      <c r="H13" s="160"/>
      <c r="I13" s="214" t="s">
        <v>79</v>
      </c>
      <c r="J13" s="215"/>
      <c r="K13" s="19"/>
      <c r="L13" s="42"/>
      <c r="M13" s="11"/>
      <c r="N13" s="11"/>
      <c r="O13" s="11"/>
      <c r="P13" s="11"/>
      <c r="Q13" s="11"/>
      <c r="R13" s="11"/>
      <c r="S13" s="19"/>
      <c r="T13" s="12"/>
      <c r="U13" s="10"/>
      <c r="V13" s="10"/>
      <c r="W13" s="10"/>
      <c r="X13" s="10"/>
      <c r="Y13" s="10"/>
      <c r="Z13" s="10"/>
      <c r="AA13" s="10"/>
      <c r="AB13" s="11"/>
    </row>
    <row r="14" spans="1:49" ht="30" customHeight="1" thickBot="1">
      <c r="A14" s="209" t="s">
        <v>84</v>
      </c>
      <c r="B14" s="209"/>
      <c r="C14" s="211"/>
      <c r="D14" s="20">
        <v>0</v>
      </c>
      <c r="E14" s="99"/>
      <c r="F14" s="99"/>
      <c r="G14" s="155"/>
      <c r="H14" s="159"/>
      <c r="I14" s="212" t="str">
        <f>RIGHT(FIXED((D14*10000+E14*100+F14)/100000,5),5)</f>
        <v>00000</v>
      </c>
      <c r="J14" s="212"/>
      <c r="K14" s="173" t="s">
        <v>114</v>
      </c>
      <c r="L14" s="174"/>
      <c r="M14" s="174"/>
      <c r="N14" s="174"/>
      <c r="O14" s="174"/>
      <c r="P14" s="174"/>
      <c r="Q14" s="174"/>
      <c r="R14" s="175"/>
      <c r="S14" s="176"/>
      <c r="T14" s="177"/>
      <c r="U14" s="177"/>
      <c r="V14" s="177"/>
      <c r="W14" s="177"/>
      <c r="X14" s="177"/>
      <c r="Y14" s="177"/>
      <c r="Z14" s="178"/>
      <c r="AA14" s="186" t="s">
        <v>126</v>
      </c>
      <c r="AB14" s="70" t="s">
        <v>89</v>
      </c>
      <c r="AE14" s="4" t="s">
        <v>14</v>
      </c>
    </row>
    <row r="15" spans="1:49" ht="26.4">
      <c r="A15" s="71" t="s">
        <v>53</v>
      </c>
      <c r="B15" s="97" t="s">
        <v>75</v>
      </c>
      <c r="C15" s="72" t="s">
        <v>58</v>
      </c>
      <c r="D15" s="72" t="s">
        <v>1</v>
      </c>
      <c r="E15" s="72" t="s">
        <v>110</v>
      </c>
      <c r="F15" s="72" t="s">
        <v>111</v>
      </c>
      <c r="G15" s="149" t="s">
        <v>124</v>
      </c>
      <c r="H15" s="149" t="s">
        <v>125</v>
      </c>
      <c r="I15" s="143" t="s">
        <v>118</v>
      </c>
      <c r="J15" s="142" t="s">
        <v>46</v>
      </c>
      <c r="K15" s="73" t="s">
        <v>16</v>
      </c>
      <c r="L15" s="74" t="s">
        <v>2</v>
      </c>
      <c r="M15" s="75" t="s">
        <v>50</v>
      </c>
      <c r="N15" s="76" t="s">
        <v>57</v>
      </c>
      <c r="O15" s="77" t="s">
        <v>51</v>
      </c>
      <c r="P15" s="78" t="s">
        <v>47</v>
      </c>
      <c r="Q15" s="78" t="s">
        <v>48</v>
      </c>
      <c r="R15" s="79" t="s">
        <v>49</v>
      </c>
      <c r="S15" s="128"/>
      <c r="T15" s="129"/>
      <c r="U15" s="130"/>
      <c r="V15" s="130"/>
      <c r="W15" s="130"/>
      <c r="X15" s="129"/>
      <c r="Y15" s="129"/>
      <c r="Z15" s="131"/>
      <c r="AA15" s="187"/>
      <c r="AB15" s="80" t="s">
        <v>90</v>
      </c>
      <c r="AE15" s="21" t="s">
        <v>23</v>
      </c>
      <c r="AF15" s="22" t="s">
        <v>21</v>
      </c>
      <c r="AG15" s="22" t="s">
        <v>22</v>
      </c>
      <c r="AH15" s="22" t="s">
        <v>127</v>
      </c>
      <c r="AI15" s="22" t="s">
        <v>20</v>
      </c>
      <c r="AJ15" s="22" t="s">
        <v>24</v>
      </c>
      <c r="AK15" s="22" t="s">
        <v>25</v>
      </c>
      <c r="AL15" s="22" t="s">
        <v>26</v>
      </c>
      <c r="AM15" s="23" t="s">
        <v>27</v>
      </c>
      <c r="AN15" s="38"/>
    </row>
    <row r="16" spans="1:49" ht="30" customHeight="1">
      <c r="A16" s="83"/>
      <c r="B16" s="88"/>
      <c r="C16" s="150"/>
      <c r="D16" s="150"/>
      <c r="E16" s="150"/>
      <c r="F16" s="150"/>
      <c r="G16" s="150"/>
      <c r="H16" s="150"/>
      <c r="I16" s="5"/>
      <c r="J16" s="86"/>
      <c r="K16" s="87"/>
      <c r="L16" s="144"/>
      <c r="M16" s="88"/>
      <c r="N16" s="89"/>
      <c r="O16" s="136"/>
      <c r="P16" s="90"/>
      <c r="Q16" s="90"/>
      <c r="R16" s="89"/>
      <c r="S16" s="183" t="s">
        <v>130</v>
      </c>
      <c r="T16" s="184"/>
      <c r="U16" s="184"/>
      <c r="V16" s="184"/>
      <c r="W16" s="184"/>
      <c r="X16" s="184"/>
      <c r="Y16" s="184"/>
      <c r="Z16" s="185"/>
      <c r="AA16" s="81" t="str">
        <f>IF(AF16="","",COUNTA(K16))</f>
        <v/>
      </c>
      <c r="AB16" s="157"/>
      <c r="AC16" s="18" t="str">
        <f>IF(AA16="","",VALUE(AA16&amp;IF(LENB(I16)=2,RIGHTB(I16,1),I16)))</f>
        <v/>
      </c>
      <c r="AD16" s="18" t="str">
        <f>IF(J16="","","s"&amp;COUNTIF(J16,"○"))</f>
        <v/>
      </c>
      <c r="AE16" s="24" t="str">
        <f>IF(C16="","",100000000+$AE$11*100+1)</f>
        <v/>
      </c>
      <c r="AF16" s="7" t="str">
        <f>ASC(IF(C16="","",IF(LENB(C16)+LENB(D16)&gt;=10,C16&amp;D16,IF(LENB(C16)+LENB(D16)&gt;=8,C16&amp;"  "&amp;D16,IF(LENB(C16)+LENB(D16)&gt;=6,C16&amp;"    "&amp;D16,C16&amp;"      "&amp;D16)))&amp;IF(I16="","","("&amp;I16&amp;")")))</f>
        <v/>
      </c>
      <c r="AG16" s="8" t="str">
        <f t="shared" ref="AG16:AG35" si="0">IF(AND(E16="",F16=""),"",ASC(E16)&amp;" "&amp;ASC(F16))</f>
        <v/>
      </c>
      <c r="AH16" s="8" t="str">
        <f>IF(AND(F16="",G16=""),"",UPPER(ASC(G16))&amp;" "&amp;PROPER(ASC(H16)))</f>
        <v/>
      </c>
      <c r="AI16" s="8" t="str">
        <f t="shared" ref="AI16:AI30" si="1">IF(C16="","",VALUE(LEFT(AE16,1)))</f>
        <v/>
      </c>
      <c r="AJ16" s="8" t="str">
        <f t="shared" ref="AJ16:AJ30" si="2">IF(C16="","",VLOOKUP(AB16,$K$39:$L$44,2,FALSE))</f>
        <v/>
      </c>
      <c r="AK16" s="7" t="str">
        <f t="shared" ref="AK16:AK30" si="3">IF(AF16="","",$AE$11)</f>
        <v/>
      </c>
      <c r="AL16" s="7"/>
      <c r="AM16" s="25" t="str">
        <f t="shared" ref="AM16:AM30" si="4">IF(K16="","",VLOOKUP(K16,$C$39:$E$41,2,FALSE)&amp;" "&amp;RIGHT(FIXED(VALUE(L16&amp;M16&amp;IF(LENB(N16)=1,N16&amp;"0",N16))/VLOOKUP(K16,$C$39:$E$41,3,FALSE),VLOOKUP(K16,$C$39:$F$41,4,FALSE)),VLOOKUP(K16,$C$39:$F$41,4,FALSE)))</f>
        <v/>
      </c>
      <c r="AN16" s="132"/>
    </row>
    <row r="17" spans="1:40" ht="30" customHeight="1">
      <c r="A17" s="84"/>
      <c r="B17" s="92"/>
      <c r="C17" s="151"/>
      <c r="D17" s="151"/>
      <c r="E17" s="151"/>
      <c r="F17" s="151"/>
      <c r="G17" s="151"/>
      <c r="H17" s="151"/>
      <c r="I17" s="6"/>
      <c r="J17" s="48"/>
      <c r="K17" s="91"/>
      <c r="L17" s="145"/>
      <c r="M17" s="92"/>
      <c r="N17" s="93"/>
      <c r="O17" s="137"/>
      <c r="P17" s="94"/>
      <c r="Q17" s="94"/>
      <c r="R17" s="93"/>
      <c r="S17" s="183" t="s">
        <v>131</v>
      </c>
      <c r="T17" s="184"/>
      <c r="U17" s="184"/>
      <c r="V17" s="184"/>
      <c r="W17" s="184"/>
      <c r="X17" s="184"/>
      <c r="Y17" s="184"/>
      <c r="Z17" s="185"/>
      <c r="AA17" s="82" t="str">
        <f t="shared" ref="AA17:AA30" si="5">IF(AF17="","",COUNTA(K17))</f>
        <v/>
      </c>
      <c r="AB17" s="158"/>
      <c r="AC17" s="18" t="str">
        <f t="shared" ref="AC17:AC35" si="6">IF(AA17="","",VALUE(AA17&amp;IF(LENB(I17)=2,RIGHTB(I17,1),I17)))</f>
        <v/>
      </c>
      <c r="AD17" s="18" t="str">
        <f>IF(J17="","","s"&amp;COUNTIF($J$16:J17,"○"))</f>
        <v/>
      </c>
      <c r="AE17" s="24" t="str">
        <f>IF(C17="","",100000000+$AE$11*100+2)</f>
        <v/>
      </c>
      <c r="AF17" s="7" t="str">
        <f t="shared" ref="AF17:AF35" si="7">ASC(IF(C17="","",IF(LENB(C17)+LENB(D17)&gt;=10,C17&amp;D17,IF(LENB(C17)+LENB(D17)&gt;=8,C17&amp;"  "&amp;D17,IF(LENB(C17)+LENB(D17)&gt;=6,C17&amp;"    "&amp;D17,C17&amp;"      "&amp;D17)))&amp;IF(I17="","","("&amp;I17&amp;")")))</f>
        <v/>
      </c>
      <c r="AG17" s="8" t="str">
        <f t="shared" si="0"/>
        <v/>
      </c>
      <c r="AH17" s="8" t="str">
        <f t="shared" ref="AH17:AH35" si="8">IF(AND(F17="",G17=""),"",UPPER(ASC(G17))&amp;" "&amp;PROPER(ASC(H17)))</f>
        <v/>
      </c>
      <c r="AI17" s="8" t="str">
        <f t="shared" si="1"/>
        <v/>
      </c>
      <c r="AJ17" s="8" t="str">
        <f t="shared" si="2"/>
        <v/>
      </c>
      <c r="AK17" s="7" t="str">
        <f t="shared" si="3"/>
        <v/>
      </c>
      <c r="AL17" s="7"/>
      <c r="AM17" s="25" t="str">
        <f t="shared" si="4"/>
        <v/>
      </c>
      <c r="AN17" s="132"/>
    </row>
    <row r="18" spans="1:40" ht="30" customHeight="1">
      <c r="A18" s="84"/>
      <c r="B18" s="92"/>
      <c r="C18" s="151"/>
      <c r="D18" s="151"/>
      <c r="E18" s="151"/>
      <c r="F18" s="151"/>
      <c r="G18" s="151"/>
      <c r="H18" s="151"/>
      <c r="I18" s="6"/>
      <c r="J18" s="48"/>
      <c r="K18" s="91"/>
      <c r="L18" s="145"/>
      <c r="M18" s="92"/>
      <c r="N18" s="93"/>
      <c r="O18" s="137"/>
      <c r="P18" s="94"/>
      <c r="Q18" s="94"/>
      <c r="R18" s="93"/>
      <c r="S18" s="183" t="s">
        <v>128</v>
      </c>
      <c r="T18" s="184"/>
      <c r="U18" s="184"/>
      <c r="V18" s="184"/>
      <c r="W18" s="184"/>
      <c r="X18" s="184"/>
      <c r="Y18" s="184"/>
      <c r="Z18" s="185"/>
      <c r="AA18" s="82" t="str">
        <f t="shared" si="5"/>
        <v/>
      </c>
      <c r="AB18" s="158"/>
      <c r="AC18" s="18" t="str">
        <f t="shared" si="6"/>
        <v/>
      </c>
      <c r="AD18" s="18" t="str">
        <f>IF(J18="","","s"&amp;COUNTIF($J$16:J18,"○"))</f>
        <v/>
      </c>
      <c r="AE18" s="24" t="str">
        <f>IF(C18="","",100000000+$AE$11*100+3)</f>
        <v/>
      </c>
      <c r="AF18" s="7" t="str">
        <f t="shared" si="7"/>
        <v/>
      </c>
      <c r="AG18" s="8" t="str">
        <f t="shared" si="0"/>
        <v/>
      </c>
      <c r="AH18" s="8" t="str">
        <f t="shared" si="8"/>
        <v/>
      </c>
      <c r="AI18" s="8" t="str">
        <f t="shared" si="1"/>
        <v/>
      </c>
      <c r="AJ18" s="8" t="str">
        <f t="shared" si="2"/>
        <v/>
      </c>
      <c r="AK18" s="7" t="str">
        <f t="shared" si="3"/>
        <v/>
      </c>
      <c r="AL18" s="7"/>
      <c r="AM18" s="25" t="str">
        <f t="shared" si="4"/>
        <v/>
      </c>
      <c r="AN18" s="132"/>
    </row>
    <row r="19" spans="1:40" ht="30" customHeight="1">
      <c r="A19" s="84"/>
      <c r="B19" s="92"/>
      <c r="C19" s="151"/>
      <c r="D19" s="151"/>
      <c r="E19" s="151"/>
      <c r="F19" s="151"/>
      <c r="G19" s="151"/>
      <c r="H19" s="151"/>
      <c r="I19" s="6"/>
      <c r="J19" s="48"/>
      <c r="K19" s="91"/>
      <c r="L19" s="145"/>
      <c r="M19" s="92"/>
      <c r="N19" s="93"/>
      <c r="O19" s="137"/>
      <c r="P19" s="94"/>
      <c r="Q19" s="94"/>
      <c r="R19" s="93"/>
      <c r="S19" s="183" t="s">
        <v>129</v>
      </c>
      <c r="T19" s="184"/>
      <c r="U19" s="184"/>
      <c r="V19" s="184"/>
      <c r="W19" s="184"/>
      <c r="X19" s="184"/>
      <c r="Y19" s="184"/>
      <c r="Z19" s="185"/>
      <c r="AA19" s="82" t="str">
        <f t="shared" si="5"/>
        <v/>
      </c>
      <c r="AB19" s="158"/>
      <c r="AC19" s="18" t="str">
        <f t="shared" si="6"/>
        <v/>
      </c>
      <c r="AD19" s="18" t="str">
        <f>IF(J19="","","s"&amp;COUNTIF($J$16:J19,"○"))</f>
        <v/>
      </c>
      <c r="AE19" s="24" t="str">
        <f>IF(C19="","",100000000+$AE$11*100+4)</f>
        <v/>
      </c>
      <c r="AF19" s="7" t="str">
        <f t="shared" si="7"/>
        <v/>
      </c>
      <c r="AG19" s="8" t="str">
        <f t="shared" si="0"/>
        <v/>
      </c>
      <c r="AH19" s="8" t="str">
        <f t="shared" si="8"/>
        <v/>
      </c>
      <c r="AI19" s="8" t="str">
        <f t="shared" si="1"/>
        <v/>
      </c>
      <c r="AJ19" s="8" t="str">
        <f t="shared" si="2"/>
        <v/>
      </c>
      <c r="AK19" s="7" t="str">
        <f t="shared" si="3"/>
        <v/>
      </c>
      <c r="AL19" s="7"/>
      <c r="AM19" s="25" t="str">
        <f t="shared" si="4"/>
        <v/>
      </c>
      <c r="AN19" s="132"/>
    </row>
    <row r="20" spans="1:40" ht="30" customHeight="1">
      <c r="A20" s="84"/>
      <c r="B20" s="92"/>
      <c r="C20" s="151"/>
      <c r="D20" s="151"/>
      <c r="E20" s="151"/>
      <c r="F20" s="151"/>
      <c r="G20" s="151"/>
      <c r="H20" s="151"/>
      <c r="I20" s="6"/>
      <c r="J20" s="48"/>
      <c r="K20" s="91"/>
      <c r="L20" s="145"/>
      <c r="M20" s="92"/>
      <c r="N20" s="93"/>
      <c r="O20" s="137"/>
      <c r="P20" s="94"/>
      <c r="Q20" s="94"/>
      <c r="R20" s="93"/>
      <c r="S20" s="138"/>
      <c r="T20" s="139"/>
      <c r="U20" s="139"/>
      <c r="V20" s="139"/>
      <c r="W20" s="139"/>
      <c r="X20" s="139"/>
      <c r="Y20" s="139"/>
      <c r="Z20" s="140"/>
      <c r="AA20" s="82" t="str">
        <f t="shared" si="5"/>
        <v/>
      </c>
      <c r="AB20" s="158"/>
      <c r="AC20" s="18" t="str">
        <f t="shared" si="6"/>
        <v/>
      </c>
      <c r="AD20" s="18" t="str">
        <f>IF(J20="","","s"&amp;COUNTIF($J$16:J20,"○"))</f>
        <v/>
      </c>
      <c r="AE20" s="24" t="str">
        <f>IF(C20="","",100000000+$AE$11*100+5)</f>
        <v/>
      </c>
      <c r="AF20" s="7" t="str">
        <f t="shared" si="7"/>
        <v/>
      </c>
      <c r="AG20" s="8" t="str">
        <f t="shared" si="0"/>
        <v/>
      </c>
      <c r="AH20" s="8" t="str">
        <f t="shared" si="8"/>
        <v/>
      </c>
      <c r="AI20" s="8" t="str">
        <f t="shared" si="1"/>
        <v/>
      </c>
      <c r="AJ20" s="8" t="str">
        <f t="shared" si="2"/>
        <v/>
      </c>
      <c r="AK20" s="7" t="str">
        <f t="shared" si="3"/>
        <v/>
      </c>
      <c r="AL20" s="7"/>
      <c r="AM20" s="25" t="str">
        <f t="shared" si="4"/>
        <v/>
      </c>
      <c r="AN20" s="132"/>
    </row>
    <row r="21" spans="1:40" ht="30" customHeight="1">
      <c r="A21" s="84"/>
      <c r="B21" s="92"/>
      <c r="C21" s="151"/>
      <c r="D21" s="151"/>
      <c r="E21" s="151"/>
      <c r="F21" s="151"/>
      <c r="G21" s="151"/>
      <c r="H21" s="151"/>
      <c r="I21" s="6"/>
      <c r="J21" s="48"/>
      <c r="K21" s="91"/>
      <c r="L21" s="145"/>
      <c r="M21" s="92"/>
      <c r="N21" s="93"/>
      <c r="O21" s="137"/>
      <c r="P21" s="94"/>
      <c r="Q21" s="94"/>
      <c r="R21" s="93"/>
      <c r="S21" s="138"/>
      <c r="T21" s="139"/>
      <c r="U21" s="139"/>
      <c r="V21" s="139"/>
      <c r="W21" s="139"/>
      <c r="X21" s="139"/>
      <c r="Y21" s="139"/>
      <c r="Z21" s="140"/>
      <c r="AA21" s="82" t="str">
        <f t="shared" si="5"/>
        <v/>
      </c>
      <c r="AB21" s="158"/>
      <c r="AC21" s="18" t="str">
        <f t="shared" si="6"/>
        <v/>
      </c>
      <c r="AD21" s="18" t="str">
        <f>IF(J21="","","s"&amp;COUNTIF($J$16:J21,"○"))</f>
        <v/>
      </c>
      <c r="AE21" s="24" t="str">
        <f>IF(C21="","",100000000+$AE$11*100+6)</f>
        <v/>
      </c>
      <c r="AF21" s="7" t="str">
        <f t="shared" si="7"/>
        <v/>
      </c>
      <c r="AG21" s="8" t="str">
        <f t="shared" si="0"/>
        <v/>
      </c>
      <c r="AH21" s="8" t="str">
        <f t="shared" si="8"/>
        <v/>
      </c>
      <c r="AI21" s="8" t="str">
        <f t="shared" si="1"/>
        <v/>
      </c>
      <c r="AJ21" s="8" t="str">
        <f t="shared" si="2"/>
        <v/>
      </c>
      <c r="AK21" s="7" t="str">
        <f t="shared" si="3"/>
        <v/>
      </c>
      <c r="AL21" s="7"/>
      <c r="AM21" s="25" t="str">
        <f t="shared" si="4"/>
        <v/>
      </c>
      <c r="AN21" s="132"/>
    </row>
    <row r="22" spans="1:40" ht="30" customHeight="1">
      <c r="A22" s="84"/>
      <c r="B22" s="92"/>
      <c r="C22" s="151"/>
      <c r="D22" s="151"/>
      <c r="E22" s="151"/>
      <c r="F22" s="151"/>
      <c r="G22" s="151"/>
      <c r="H22" s="151"/>
      <c r="I22" s="6"/>
      <c r="J22" s="48"/>
      <c r="K22" s="91"/>
      <c r="L22" s="145"/>
      <c r="M22" s="92"/>
      <c r="N22" s="93"/>
      <c r="O22" s="137"/>
      <c r="P22" s="94"/>
      <c r="Q22" s="94"/>
      <c r="R22" s="93"/>
      <c r="S22" s="138"/>
      <c r="T22" s="139"/>
      <c r="U22" s="139"/>
      <c r="V22" s="139"/>
      <c r="W22" s="139"/>
      <c r="X22" s="139"/>
      <c r="Y22" s="139"/>
      <c r="Z22" s="140"/>
      <c r="AA22" s="82" t="str">
        <f t="shared" si="5"/>
        <v/>
      </c>
      <c r="AB22" s="158"/>
      <c r="AC22" s="18" t="str">
        <f t="shared" si="6"/>
        <v/>
      </c>
      <c r="AD22" s="18" t="str">
        <f>IF(J22="","","s"&amp;COUNTIF($J$16:J22,"○"))</f>
        <v/>
      </c>
      <c r="AE22" s="24" t="str">
        <f>IF(C22="","",100000000+$AE$11*100+7)</f>
        <v/>
      </c>
      <c r="AF22" s="7" t="str">
        <f t="shared" si="7"/>
        <v/>
      </c>
      <c r="AG22" s="8" t="str">
        <f t="shared" si="0"/>
        <v/>
      </c>
      <c r="AH22" s="8" t="str">
        <f t="shared" si="8"/>
        <v/>
      </c>
      <c r="AI22" s="8" t="str">
        <f t="shared" si="1"/>
        <v/>
      </c>
      <c r="AJ22" s="8" t="str">
        <f t="shared" si="2"/>
        <v/>
      </c>
      <c r="AK22" s="7" t="str">
        <f t="shared" si="3"/>
        <v/>
      </c>
      <c r="AL22" s="7"/>
      <c r="AM22" s="25" t="str">
        <f t="shared" si="4"/>
        <v/>
      </c>
      <c r="AN22" s="132"/>
    </row>
    <row r="23" spans="1:40" ht="30" customHeight="1">
      <c r="A23" s="84"/>
      <c r="B23" s="92"/>
      <c r="C23" s="151"/>
      <c r="D23" s="151"/>
      <c r="E23" s="151"/>
      <c r="F23" s="151"/>
      <c r="G23" s="151"/>
      <c r="H23" s="151"/>
      <c r="I23" s="6"/>
      <c r="J23" s="48"/>
      <c r="K23" s="91"/>
      <c r="L23" s="145"/>
      <c r="M23" s="92"/>
      <c r="N23" s="93"/>
      <c r="O23" s="137"/>
      <c r="P23" s="94"/>
      <c r="Q23" s="94"/>
      <c r="R23" s="93"/>
      <c r="S23" s="138"/>
      <c r="T23" s="139"/>
      <c r="U23" s="139"/>
      <c r="V23" s="139"/>
      <c r="W23" s="139"/>
      <c r="X23" s="139"/>
      <c r="Y23" s="139"/>
      <c r="Z23" s="140"/>
      <c r="AA23" s="82" t="str">
        <f t="shared" si="5"/>
        <v/>
      </c>
      <c r="AB23" s="158"/>
      <c r="AC23" s="18" t="str">
        <f t="shared" si="6"/>
        <v/>
      </c>
      <c r="AD23" s="18" t="str">
        <f>IF(J23="","","s"&amp;COUNTIF($J$16:J23,"○"))</f>
        <v/>
      </c>
      <c r="AE23" s="24" t="str">
        <f>IF(C23="","",100000000+$AE$11*100+8)</f>
        <v/>
      </c>
      <c r="AF23" s="7" t="str">
        <f t="shared" si="7"/>
        <v/>
      </c>
      <c r="AG23" s="8" t="str">
        <f t="shared" si="0"/>
        <v/>
      </c>
      <c r="AH23" s="8" t="str">
        <f t="shared" si="8"/>
        <v/>
      </c>
      <c r="AI23" s="8" t="str">
        <f t="shared" si="1"/>
        <v/>
      </c>
      <c r="AJ23" s="8" t="str">
        <f t="shared" si="2"/>
        <v/>
      </c>
      <c r="AK23" s="7" t="str">
        <f t="shared" si="3"/>
        <v/>
      </c>
      <c r="AL23" s="7"/>
      <c r="AM23" s="25" t="str">
        <f t="shared" si="4"/>
        <v/>
      </c>
      <c r="AN23" s="132"/>
    </row>
    <row r="24" spans="1:40" ht="30" customHeight="1">
      <c r="A24" s="84"/>
      <c r="B24" s="92"/>
      <c r="C24" s="151"/>
      <c r="D24" s="151"/>
      <c r="E24" s="151"/>
      <c r="F24" s="151"/>
      <c r="G24" s="151"/>
      <c r="H24" s="151"/>
      <c r="I24" s="6"/>
      <c r="J24" s="48"/>
      <c r="K24" s="91"/>
      <c r="L24" s="145"/>
      <c r="M24" s="92"/>
      <c r="N24" s="93"/>
      <c r="O24" s="137"/>
      <c r="P24" s="94"/>
      <c r="Q24" s="94"/>
      <c r="R24" s="93"/>
      <c r="S24" s="138"/>
      <c r="T24" s="139"/>
      <c r="U24" s="139"/>
      <c r="V24" s="139"/>
      <c r="W24" s="139"/>
      <c r="X24" s="139"/>
      <c r="Y24" s="139"/>
      <c r="Z24" s="140"/>
      <c r="AA24" s="82" t="str">
        <f t="shared" si="5"/>
        <v/>
      </c>
      <c r="AB24" s="158"/>
      <c r="AC24" s="18" t="str">
        <f t="shared" si="6"/>
        <v/>
      </c>
      <c r="AD24" s="18" t="str">
        <f>IF(J24="","","s"&amp;COUNTIF($J$16:J24,"○"))</f>
        <v/>
      </c>
      <c r="AE24" s="24" t="str">
        <f>IF(C24="","",100000000+$AE$11*100+9)</f>
        <v/>
      </c>
      <c r="AF24" s="7" t="str">
        <f t="shared" si="7"/>
        <v/>
      </c>
      <c r="AG24" s="8" t="str">
        <f t="shared" si="0"/>
        <v/>
      </c>
      <c r="AH24" s="8" t="str">
        <f t="shared" si="8"/>
        <v/>
      </c>
      <c r="AI24" s="8" t="str">
        <f t="shared" si="1"/>
        <v/>
      </c>
      <c r="AJ24" s="8" t="str">
        <f t="shared" si="2"/>
        <v/>
      </c>
      <c r="AK24" s="7" t="str">
        <f t="shared" si="3"/>
        <v/>
      </c>
      <c r="AL24" s="7"/>
      <c r="AM24" s="25" t="str">
        <f t="shared" si="4"/>
        <v/>
      </c>
      <c r="AN24" s="132"/>
    </row>
    <row r="25" spans="1:40" ht="30" customHeight="1">
      <c r="A25" s="84"/>
      <c r="B25" s="92"/>
      <c r="C25" s="151"/>
      <c r="D25" s="151"/>
      <c r="E25" s="151"/>
      <c r="F25" s="151"/>
      <c r="G25" s="151"/>
      <c r="H25" s="151"/>
      <c r="I25" s="6"/>
      <c r="J25" s="48"/>
      <c r="K25" s="91"/>
      <c r="L25" s="145"/>
      <c r="M25" s="92"/>
      <c r="N25" s="93"/>
      <c r="O25" s="137"/>
      <c r="P25" s="94"/>
      <c r="Q25" s="94"/>
      <c r="R25" s="93"/>
      <c r="S25" s="138"/>
      <c r="T25" s="139"/>
      <c r="U25" s="139"/>
      <c r="V25" s="139"/>
      <c r="W25" s="139"/>
      <c r="X25" s="139"/>
      <c r="Y25" s="139"/>
      <c r="Z25" s="140"/>
      <c r="AA25" s="82" t="str">
        <f t="shared" si="5"/>
        <v/>
      </c>
      <c r="AB25" s="158"/>
      <c r="AC25" s="18" t="str">
        <f t="shared" si="6"/>
        <v/>
      </c>
      <c r="AD25" s="18" t="str">
        <f>IF(J25="","","s"&amp;COUNTIF($J$16:J25,"○"))</f>
        <v/>
      </c>
      <c r="AE25" s="24" t="str">
        <f>IF(C25="","",100000000+$AE$11*100+10)</f>
        <v/>
      </c>
      <c r="AF25" s="7" t="str">
        <f t="shared" si="7"/>
        <v/>
      </c>
      <c r="AG25" s="8" t="str">
        <f t="shared" si="0"/>
        <v/>
      </c>
      <c r="AH25" s="8" t="str">
        <f t="shared" si="8"/>
        <v/>
      </c>
      <c r="AI25" s="8" t="str">
        <f t="shared" si="1"/>
        <v/>
      </c>
      <c r="AJ25" s="8" t="str">
        <f t="shared" si="2"/>
        <v/>
      </c>
      <c r="AK25" s="7" t="str">
        <f t="shared" si="3"/>
        <v/>
      </c>
      <c r="AL25" s="7"/>
      <c r="AM25" s="25" t="str">
        <f t="shared" si="4"/>
        <v/>
      </c>
      <c r="AN25" s="132"/>
    </row>
    <row r="26" spans="1:40" ht="30" customHeight="1">
      <c r="A26" s="84"/>
      <c r="B26" s="92"/>
      <c r="C26" s="151"/>
      <c r="D26" s="151"/>
      <c r="E26" s="151"/>
      <c r="F26" s="151"/>
      <c r="G26" s="151"/>
      <c r="H26" s="151"/>
      <c r="I26" s="6"/>
      <c r="J26" s="48"/>
      <c r="K26" s="91"/>
      <c r="L26" s="145"/>
      <c r="M26" s="92"/>
      <c r="N26" s="93"/>
      <c r="O26" s="137"/>
      <c r="P26" s="94"/>
      <c r="Q26" s="94"/>
      <c r="R26" s="93"/>
      <c r="S26" s="138"/>
      <c r="T26" s="139"/>
      <c r="U26" s="139"/>
      <c r="V26" s="139"/>
      <c r="W26" s="139"/>
      <c r="X26" s="139"/>
      <c r="Y26" s="139"/>
      <c r="Z26" s="140"/>
      <c r="AA26" s="82" t="str">
        <f t="shared" si="5"/>
        <v/>
      </c>
      <c r="AB26" s="158"/>
      <c r="AC26" s="18" t="str">
        <f t="shared" si="6"/>
        <v/>
      </c>
      <c r="AD26" s="18" t="str">
        <f>IF(J26="","","s"&amp;COUNTIF($J$16:J26,"○"))</f>
        <v/>
      </c>
      <c r="AE26" s="24" t="str">
        <f>IF(C26="","",100000000+$AE$11*100+11)</f>
        <v/>
      </c>
      <c r="AF26" s="7" t="str">
        <f t="shared" si="7"/>
        <v/>
      </c>
      <c r="AG26" s="8" t="str">
        <f t="shared" si="0"/>
        <v/>
      </c>
      <c r="AH26" s="8" t="str">
        <f t="shared" si="8"/>
        <v/>
      </c>
      <c r="AI26" s="8" t="str">
        <f t="shared" si="1"/>
        <v/>
      </c>
      <c r="AJ26" s="8" t="str">
        <f t="shared" si="2"/>
        <v/>
      </c>
      <c r="AK26" s="7" t="str">
        <f t="shared" si="3"/>
        <v/>
      </c>
      <c r="AL26" s="7"/>
      <c r="AM26" s="25" t="str">
        <f t="shared" si="4"/>
        <v/>
      </c>
      <c r="AN26" s="132"/>
    </row>
    <row r="27" spans="1:40" ht="30" customHeight="1">
      <c r="A27" s="84"/>
      <c r="B27" s="92"/>
      <c r="C27" s="151"/>
      <c r="D27" s="151"/>
      <c r="E27" s="151"/>
      <c r="F27" s="151"/>
      <c r="G27" s="151"/>
      <c r="H27" s="151"/>
      <c r="I27" s="6"/>
      <c r="J27" s="48"/>
      <c r="K27" s="91"/>
      <c r="L27" s="145"/>
      <c r="M27" s="92"/>
      <c r="N27" s="93"/>
      <c r="O27" s="137"/>
      <c r="P27" s="94"/>
      <c r="Q27" s="94"/>
      <c r="R27" s="93"/>
      <c r="S27" s="138"/>
      <c r="T27" s="139"/>
      <c r="U27" s="139"/>
      <c r="V27" s="139"/>
      <c r="W27" s="139"/>
      <c r="X27" s="139"/>
      <c r="Y27" s="139"/>
      <c r="Z27" s="140"/>
      <c r="AA27" s="82" t="str">
        <f t="shared" si="5"/>
        <v/>
      </c>
      <c r="AB27" s="158"/>
      <c r="AC27" s="18" t="str">
        <f t="shared" si="6"/>
        <v/>
      </c>
      <c r="AD27" s="18" t="str">
        <f>IF(J27="","","s"&amp;COUNTIF($J$16:J27,"○"))</f>
        <v/>
      </c>
      <c r="AE27" s="24" t="str">
        <f>IF(C27="","",100000000+$AE$11*100+12)</f>
        <v/>
      </c>
      <c r="AF27" s="7" t="str">
        <f t="shared" si="7"/>
        <v/>
      </c>
      <c r="AG27" s="8" t="str">
        <f t="shared" si="0"/>
        <v/>
      </c>
      <c r="AH27" s="8" t="str">
        <f t="shared" si="8"/>
        <v/>
      </c>
      <c r="AI27" s="8" t="str">
        <f t="shared" si="1"/>
        <v/>
      </c>
      <c r="AJ27" s="8" t="str">
        <f t="shared" si="2"/>
        <v/>
      </c>
      <c r="AK27" s="7" t="str">
        <f t="shared" si="3"/>
        <v/>
      </c>
      <c r="AL27" s="7"/>
      <c r="AM27" s="25" t="str">
        <f t="shared" si="4"/>
        <v/>
      </c>
      <c r="AN27" s="132"/>
    </row>
    <row r="28" spans="1:40" ht="30" customHeight="1">
      <c r="A28" s="84"/>
      <c r="B28" s="92"/>
      <c r="C28" s="151"/>
      <c r="D28" s="151"/>
      <c r="E28" s="151"/>
      <c r="F28" s="151"/>
      <c r="G28" s="151"/>
      <c r="H28" s="151"/>
      <c r="I28" s="6"/>
      <c r="J28" s="48"/>
      <c r="K28" s="91"/>
      <c r="L28" s="145"/>
      <c r="M28" s="92"/>
      <c r="N28" s="93"/>
      <c r="O28" s="137"/>
      <c r="P28" s="94"/>
      <c r="Q28" s="94"/>
      <c r="R28" s="93"/>
      <c r="S28" s="138"/>
      <c r="T28" s="139"/>
      <c r="U28" s="139"/>
      <c r="V28" s="139"/>
      <c r="W28" s="139"/>
      <c r="X28" s="139"/>
      <c r="Y28" s="139"/>
      <c r="Z28" s="140"/>
      <c r="AA28" s="82" t="str">
        <f t="shared" si="5"/>
        <v/>
      </c>
      <c r="AB28" s="158"/>
      <c r="AC28" s="18" t="str">
        <f t="shared" si="6"/>
        <v/>
      </c>
      <c r="AD28" s="18" t="str">
        <f>IF(J28="","","s"&amp;COUNTIF($J$16:J28,"○"))</f>
        <v/>
      </c>
      <c r="AE28" s="24" t="str">
        <f>IF(C28="","",100000000+$AE$11*100+13)</f>
        <v/>
      </c>
      <c r="AF28" s="7" t="str">
        <f t="shared" si="7"/>
        <v/>
      </c>
      <c r="AG28" s="8" t="str">
        <f t="shared" si="0"/>
        <v/>
      </c>
      <c r="AH28" s="8" t="str">
        <f t="shared" si="8"/>
        <v/>
      </c>
      <c r="AI28" s="8" t="str">
        <f t="shared" si="1"/>
        <v/>
      </c>
      <c r="AJ28" s="8" t="str">
        <f t="shared" si="2"/>
        <v/>
      </c>
      <c r="AK28" s="7" t="str">
        <f t="shared" si="3"/>
        <v/>
      </c>
      <c r="AL28" s="7"/>
      <c r="AM28" s="25" t="str">
        <f t="shared" si="4"/>
        <v/>
      </c>
      <c r="AN28" s="132"/>
    </row>
    <row r="29" spans="1:40" ht="30" customHeight="1">
      <c r="A29" s="84"/>
      <c r="B29" s="92"/>
      <c r="C29" s="151"/>
      <c r="D29" s="151"/>
      <c r="E29" s="151"/>
      <c r="F29" s="151"/>
      <c r="G29" s="151"/>
      <c r="H29" s="151"/>
      <c r="I29" s="6"/>
      <c r="J29" s="48"/>
      <c r="K29" s="91"/>
      <c r="L29" s="145"/>
      <c r="M29" s="92"/>
      <c r="N29" s="93"/>
      <c r="O29" s="137"/>
      <c r="P29" s="94"/>
      <c r="Q29" s="94"/>
      <c r="R29" s="93"/>
      <c r="S29" s="138"/>
      <c r="T29" s="139"/>
      <c r="U29" s="139"/>
      <c r="V29" s="139"/>
      <c r="W29" s="139"/>
      <c r="X29" s="139"/>
      <c r="Y29" s="139"/>
      <c r="Z29" s="140"/>
      <c r="AA29" s="82" t="str">
        <f t="shared" si="5"/>
        <v/>
      </c>
      <c r="AB29" s="158"/>
      <c r="AC29" s="18" t="str">
        <f t="shared" si="6"/>
        <v/>
      </c>
      <c r="AD29" s="18" t="str">
        <f>IF(J29="","","s"&amp;COUNTIF($J$16:J29,"○"))</f>
        <v/>
      </c>
      <c r="AE29" s="24" t="str">
        <f>IF(C29="","",100000000+$AE$11*100+14)</f>
        <v/>
      </c>
      <c r="AF29" s="7" t="str">
        <f t="shared" si="7"/>
        <v/>
      </c>
      <c r="AG29" s="8" t="str">
        <f t="shared" si="0"/>
        <v/>
      </c>
      <c r="AH29" s="8" t="str">
        <f t="shared" si="8"/>
        <v/>
      </c>
      <c r="AI29" s="8" t="str">
        <f t="shared" si="1"/>
        <v/>
      </c>
      <c r="AJ29" s="8" t="str">
        <f t="shared" si="2"/>
        <v/>
      </c>
      <c r="AK29" s="7" t="str">
        <f t="shared" si="3"/>
        <v/>
      </c>
      <c r="AL29" s="7"/>
      <c r="AM29" s="25" t="str">
        <f t="shared" si="4"/>
        <v/>
      </c>
      <c r="AN29" s="132"/>
    </row>
    <row r="30" spans="1:40" ht="30" customHeight="1">
      <c r="A30" s="84"/>
      <c r="B30" s="92"/>
      <c r="C30" s="151"/>
      <c r="D30" s="151"/>
      <c r="E30" s="151"/>
      <c r="F30" s="151"/>
      <c r="G30" s="151"/>
      <c r="H30" s="151"/>
      <c r="I30" s="6"/>
      <c r="J30" s="48"/>
      <c r="K30" s="91"/>
      <c r="L30" s="145"/>
      <c r="M30" s="92"/>
      <c r="N30" s="93"/>
      <c r="O30" s="137"/>
      <c r="P30" s="94"/>
      <c r="Q30" s="94"/>
      <c r="R30" s="93"/>
      <c r="S30" s="138"/>
      <c r="T30" s="139"/>
      <c r="U30" s="139"/>
      <c r="V30" s="139"/>
      <c r="W30" s="139"/>
      <c r="X30" s="139"/>
      <c r="Y30" s="139"/>
      <c r="Z30" s="140"/>
      <c r="AA30" s="82" t="str">
        <f t="shared" si="5"/>
        <v/>
      </c>
      <c r="AB30" s="158"/>
      <c r="AC30" s="18" t="str">
        <f t="shared" si="6"/>
        <v/>
      </c>
      <c r="AD30" s="18" t="str">
        <f>IF(J30="","","s"&amp;COUNTIF($J$16:J30,"○"))</f>
        <v/>
      </c>
      <c r="AE30" s="24" t="str">
        <f>IF(C30="","",100000000+$AE$11*100+15)</f>
        <v/>
      </c>
      <c r="AF30" s="7" t="str">
        <f t="shared" si="7"/>
        <v/>
      </c>
      <c r="AG30" s="8" t="str">
        <f t="shared" si="0"/>
        <v/>
      </c>
      <c r="AH30" s="8" t="str">
        <f t="shared" si="8"/>
        <v/>
      </c>
      <c r="AI30" s="8" t="str">
        <f t="shared" si="1"/>
        <v/>
      </c>
      <c r="AJ30" s="8" t="str">
        <f t="shared" si="2"/>
        <v/>
      </c>
      <c r="AK30" s="7" t="str">
        <f t="shared" si="3"/>
        <v/>
      </c>
      <c r="AL30" s="7"/>
      <c r="AM30" s="25" t="str">
        <f t="shared" si="4"/>
        <v/>
      </c>
      <c r="AN30" s="132"/>
    </row>
    <row r="31" spans="1:40" ht="30" customHeight="1">
      <c r="AC31" s="18" t="str">
        <f t="shared" si="6"/>
        <v/>
      </c>
      <c r="AD31" s="18" t="str">
        <f>IF(J31="","","s"&amp;COUNTIF($J$16:J31,"○"))</f>
        <v/>
      </c>
      <c r="AE31" s="24" t="str">
        <f>IF(C31="","",100000000+$AE$11*100+16)</f>
        <v/>
      </c>
      <c r="AF31" s="7" t="str">
        <f t="shared" si="7"/>
        <v/>
      </c>
      <c r="AG31" s="8" t="str">
        <f t="shared" si="0"/>
        <v/>
      </c>
      <c r="AH31" s="8" t="str">
        <f t="shared" si="8"/>
        <v/>
      </c>
      <c r="AI31" s="8" t="str">
        <f>IF(C31="","",VLOOKUP(AB31,$K$39:$L$44,2,FALSE))</f>
        <v/>
      </c>
      <c r="AJ31" s="7" t="str">
        <f t="shared" ref="AJ31:AJ35" si="9">IF(AF31="","",$AE$11)</f>
        <v/>
      </c>
      <c r="AK31" s="7"/>
      <c r="AL31" s="162"/>
      <c r="AM31" s="25" t="str">
        <f>IF(K31="","",VLOOKUP(K31,$C$39:$E$41,2,FALSE)&amp;" "&amp;RIGHT(FIXED(VALUE(L31&amp;M31&amp;IF(LENB(N31)=1,N31&amp;"0",N31))/VLOOKUP(K31,$C$39:$E$41,3,FALSE),VLOOKUP(K31,$C$39:$F$41,4,FALSE)),VLOOKUP(K31,$C$39:$F$41,4,FALSE)))</f>
        <v/>
      </c>
      <c r="AN31" s="132"/>
    </row>
    <row r="32" spans="1:40" ht="30" hidden="1" customHeight="1">
      <c r="AC32" s="18" t="str">
        <f t="shared" si="6"/>
        <v/>
      </c>
      <c r="AD32" s="18" t="str">
        <f>IF(J32="","","s"&amp;COUNTIF($J$16:J32,"○"))</f>
        <v/>
      </c>
      <c r="AE32" s="24" t="str">
        <f>IF(C32="","",100000000+$AE$11*100+17)</f>
        <v/>
      </c>
      <c r="AF32" s="7" t="str">
        <f t="shared" si="7"/>
        <v/>
      </c>
      <c r="AG32" s="8" t="str">
        <f t="shared" si="0"/>
        <v/>
      </c>
      <c r="AH32" s="8" t="str">
        <f t="shared" si="8"/>
        <v/>
      </c>
      <c r="AI32" s="8" t="str">
        <f>IF(C32="","",VLOOKUP(AB32,$K$39:$L$44,2,FALSE))</f>
        <v/>
      </c>
      <c r="AJ32" s="7" t="str">
        <f t="shared" si="9"/>
        <v/>
      </c>
      <c r="AK32" s="7"/>
      <c r="AL32" s="162"/>
      <c r="AM32" s="25" t="str">
        <f>IF(K32="","",VLOOKUP(K32,$C$39:$E$41,2,FALSE)&amp;" "&amp;RIGHT(FIXED(VALUE(L32&amp;M32&amp;IF(LENB(N32)=1,N32&amp;"0",N32))/VLOOKUP(K32,$C$39:$E$41,3,FALSE),VLOOKUP(K32,$C$39:$F$41,4,FALSE)),VLOOKUP(K32,$C$39:$F$41,4,FALSE)))</f>
        <v/>
      </c>
      <c r="AN32" s="132"/>
    </row>
    <row r="33" spans="1:40" ht="30" hidden="1" customHeight="1">
      <c r="AC33" s="18" t="str">
        <f t="shared" si="6"/>
        <v/>
      </c>
      <c r="AD33" s="18" t="str">
        <f>IF(J33="","","s"&amp;COUNTIF($J$16:J33,"○"))</f>
        <v/>
      </c>
      <c r="AE33" s="24" t="str">
        <f>IF(C33="","",100000000+$AE$11*100+18)</f>
        <v/>
      </c>
      <c r="AF33" s="7" t="str">
        <f t="shared" si="7"/>
        <v/>
      </c>
      <c r="AG33" s="8" t="str">
        <f t="shared" si="0"/>
        <v/>
      </c>
      <c r="AH33" s="8" t="str">
        <f t="shared" si="8"/>
        <v/>
      </c>
      <c r="AI33" s="8" t="str">
        <f>IF(C33="","",VLOOKUP(AB33,$K$39:$L$44,2,FALSE))</f>
        <v/>
      </c>
      <c r="AJ33" s="7" t="str">
        <f t="shared" si="9"/>
        <v/>
      </c>
      <c r="AK33" s="7"/>
      <c r="AL33" s="162"/>
      <c r="AM33" s="25" t="str">
        <f>IF(K33="","",VLOOKUP(K33,$C$39:$E$41,2,FALSE)&amp;" "&amp;RIGHT(FIXED(VALUE(L33&amp;M33&amp;IF(LENB(N33)=1,N33&amp;"0",N33))/VLOOKUP(K33,$C$39:$E$41,3,FALSE),VLOOKUP(K33,$C$39:$F$41,4,FALSE)),VLOOKUP(K33,$C$39:$F$41,4,FALSE)))</f>
        <v/>
      </c>
      <c r="AN33" s="132"/>
    </row>
    <row r="34" spans="1:40" ht="30" hidden="1" customHeight="1">
      <c r="AC34" s="18" t="str">
        <f t="shared" si="6"/>
        <v/>
      </c>
      <c r="AD34" s="18" t="str">
        <f>IF(J34="","","s"&amp;COUNTIF($J$16:J34,"○"))</f>
        <v/>
      </c>
      <c r="AE34" s="24" t="str">
        <f>IF(C34="","",100000000+$AE$11*100+19)</f>
        <v/>
      </c>
      <c r="AF34" s="7" t="str">
        <f t="shared" si="7"/>
        <v/>
      </c>
      <c r="AG34" s="8" t="str">
        <f t="shared" si="0"/>
        <v/>
      </c>
      <c r="AH34" s="8" t="str">
        <f t="shared" si="8"/>
        <v/>
      </c>
      <c r="AI34" s="8" t="str">
        <f>IF(C34="","",VLOOKUP(AB34,$K$39:$L$44,2,FALSE))</f>
        <v/>
      </c>
      <c r="AJ34" s="7" t="str">
        <f t="shared" si="9"/>
        <v/>
      </c>
      <c r="AK34" s="7"/>
      <c r="AL34" s="162"/>
      <c r="AM34" s="25" t="str">
        <f>IF(K34="","",VLOOKUP(K34,$C$39:$E$41,2,FALSE)&amp;" "&amp;RIGHT(FIXED(VALUE(L34&amp;M34&amp;IF(LENB(N34)=1,N34&amp;"0",N34))/VLOOKUP(K34,$C$39:$E$41,3,FALSE),VLOOKUP(K34,$C$39:$F$41,4,FALSE)),VLOOKUP(K34,$C$39:$F$41,4,FALSE)))</f>
        <v/>
      </c>
      <c r="AN34" s="132"/>
    </row>
    <row r="35" spans="1:40" ht="30" hidden="1" customHeight="1" thickBot="1">
      <c r="AC35" s="18" t="str">
        <f t="shared" si="6"/>
        <v/>
      </c>
      <c r="AD35" s="18" t="str">
        <f>IF(J35="","","s"&amp;COUNTIF($J$16:J35,"○"))</f>
        <v/>
      </c>
      <c r="AE35" s="133" t="str">
        <f>IF(C35="","",100000000+$AE$11*100+20)</f>
        <v/>
      </c>
      <c r="AF35" s="27" t="str">
        <f t="shared" si="7"/>
        <v/>
      </c>
      <c r="AG35" s="28" t="str">
        <f t="shared" si="0"/>
        <v/>
      </c>
      <c r="AH35" s="8" t="str">
        <f t="shared" si="8"/>
        <v/>
      </c>
      <c r="AI35" s="28" t="str">
        <f>IF(C35="","",VLOOKUP(AB35,$K$39:$L$44,2,FALSE))</f>
        <v/>
      </c>
      <c r="AJ35" s="27" t="str">
        <f t="shared" si="9"/>
        <v/>
      </c>
      <c r="AK35" s="27"/>
      <c r="AL35" s="163"/>
      <c r="AM35" s="134" t="str">
        <f>IF(K35="","",VLOOKUP(K35,$C$39:$E$41,2,FALSE)&amp;" "&amp;RIGHT(FIXED(VALUE(L35&amp;M35&amp;IF(LENB(N35)=1,N35&amp;"0",N35))/VLOOKUP(K35,$C$39:$E$41,3,FALSE),VLOOKUP(K35,$C$39:$F$41,4,FALSE)),VLOOKUP(K35,$C$39:$F$41,4,FALSE)))</f>
        <v/>
      </c>
      <c r="AN35" s="132"/>
    </row>
    <row r="36" spans="1:40" ht="24.75" hidden="1" customHeight="1">
      <c r="AE36" s="29" t="s">
        <v>30</v>
      </c>
      <c r="AF36" s="30" t="s">
        <v>31</v>
      </c>
      <c r="AG36" s="30" t="s">
        <v>32</v>
      </c>
      <c r="AH36" s="30" t="s">
        <v>33</v>
      </c>
      <c r="AI36" s="30" t="s">
        <v>34</v>
      </c>
      <c r="AJ36" s="30" t="s">
        <v>35</v>
      </c>
      <c r="AK36" s="30" t="s">
        <v>36</v>
      </c>
      <c r="AL36" s="30" t="s">
        <v>37</v>
      </c>
      <c r="AM36" s="30" t="s">
        <v>38</v>
      </c>
      <c r="AN36" s="31" t="s">
        <v>39</v>
      </c>
    </row>
    <row r="37" spans="1:40" ht="24.75" hidden="1" customHeight="1" thickBot="1">
      <c r="AD37" s="4" t="s">
        <v>40</v>
      </c>
      <c r="AE37" s="26" t="str">
        <f>IF(COUNTIF(J16:J35,"○")&gt;=4,$B$7,"")</f>
        <v/>
      </c>
      <c r="AF37" s="32" t="str">
        <f>IF(AE37="","",E7)</f>
        <v/>
      </c>
      <c r="AG37" s="32" t="str">
        <f>IF(AE37="","",J7)</f>
        <v/>
      </c>
      <c r="AH37" s="32" t="str">
        <f>IF(AE37="","",I14)</f>
        <v/>
      </c>
      <c r="AI37" s="32" t="str">
        <f t="shared" ref="AI37:AN37" si="10">IF(ISERROR(VLOOKUP(AI36,$AD$16:$AE$35,2,FALSE))=TRUE,"",VLOOKUP(AI36,$AD$16:$AE$35,2,FALSE))</f>
        <v/>
      </c>
      <c r="AJ37" s="32" t="str">
        <f t="shared" si="10"/>
        <v/>
      </c>
      <c r="AK37" s="32" t="str">
        <f t="shared" si="10"/>
        <v/>
      </c>
      <c r="AL37" s="32" t="str">
        <f t="shared" si="10"/>
        <v/>
      </c>
      <c r="AM37" s="32" t="str">
        <f t="shared" si="10"/>
        <v/>
      </c>
      <c r="AN37" s="33" t="str">
        <f t="shared" si="10"/>
        <v/>
      </c>
    </row>
    <row r="38" spans="1:40" hidden="1">
      <c r="A38" s="14" t="s">
        <v>54</v>
      </c>
      <c r="C38" s="14" t="s">
        <v>16</v>
      </c>
      <c r="D38" s="14" t="s">
        <v>18</v>
      </c>
      <c r="E38" s="54" t="s">
        <v>69</v>
      </c>
      <c r="F38" s="54" t="s">
        <v>69</v>
      </c>
      <c r="J38" s="167" t="s">
        <v>91</v>
      </c>
      <c r="K38" s="168"/>
      <c r="L38" s="34" t="s">
        <v>76</v>
      </c>
    </row>
    <row r="39" spans="1:40" hidden="1">
      <c r="A39" s="16" t="s">
        <v>55</v>
      </c>
      <c r="C39" s="43" t="s">
        <v>115</v>
      </c>
      <c r="D39" s="52" t="s">
        <v>108</v>
      </c>
      <c r="E39" s="43">
        <v>100000</v>
      </c>
      <c r="F39" s="43">
        <v>5</v>
      </c>
      <c r="J39" s="17">
        <v>28</v>
      </c>
      <c r="K39" s="9" t="s">
        <v>93</v>
      </c>
      <c r="L39" s="53">
        <v>28</v>
      </c>
    </row>
    <row r="40" spans="1:40" hidden="1">
      <c r="A40" s="13"/>
      <c r="C40" s="44"/>
      <c r="D40" s="46"/>
      <c r="E40" s="44"/>
      <c r="F40" s="44"/>
      <c r="J40" s="17">
        <v>25</v>
      </c>
      <c r="K40" s="9" t="s">
        <v>92</v>
      </c>
      <c r="L40" s="53">
        <v>25</v>
      </c>
    </row>
    <row r="41" spans="1:40" hidden="1">
      <c r="A41" s="14" t="s">
        <v>56</v>
      </c>
      <c r="C41" s="44"/>
      <c r="D41" s="46"/>
      <c r="E41" s="44"/>
      <c r="F41" s="44"/>
      <c r="J41" s="17">
        <v>26</v>
      </c>
      <c r="K41" s="9" t="s">
        <v>96</v>
      </c>
      <c r="L41" s="53">
        <v>26</v>
      </c>
    </row>
    <row r="42" spans="1:40" hidden="1">
      <c r="A42" s="45">
        <v>25</v>
      </c>
      <c r="J42" s="17">
        <v>27</v>
      </c>
      <c r="K42" s="9" t="s">
        <v>97</v>
      </c>
      <c r="L42" s="53">
        <v>27</v>
      </c>
    </row>
    <row r="43" spans="1:40" hidden="1">
      <c r="A43" s="46">
        <v>26</v>
      </c>
      <c r="J43" s="17">
        <v>29</v>
      </c>
      <c r="K43" s="9" t="s">
        <v>94</v>
      </c>
      <c r="L43" s="53">
        <v>29</v>
      </c>
    </row>
    <row r="44" spans="1:40" hidden="1">
      <c r="A44" s="13"/>
      <c r="C44" s="121" t="s">
        <v>101</v>
      </c>
      <c r="E44" s="124" t="s">
        <v>102</v>
      </c>
      <c r="J44" s="17">
        <v>30</v>
      </c>
      <c r="K44" s="9" t="s">
        <v>95</v>
      </c>
      <c r="L44" s="53">
        <v>30</v>
      </c>
    </row>
    <row r="45" spans="1:40" hidden="1">
      <c r="A45" s="47" t="s">
        <v>48</v>
      </c>
      <c r="C45" s="123">
        <v>0</v>
      </c>
      <c r="E45" s="124">
        <v>1</v>
      </c>
    </row>
    <row r="46" spans="1:40" hidden="1">
      <c r="A46" s="15">
        <v>4</v>
      </c>
      <c r="C46" s="122">
        <v>0</v>
      </c>
      <c r="E46" s="124">
        <v>2</v>
      </c>
    </row>
    <row r="47" spans="1:40" hidden="1">
      <c r="A47" s="15">
        <v>5</v>
      </c>
      <c r="E47" s="124">
        <v>3</v>
      </c>
    </row>
    <row r="48" spans="1:40" hidden="1">
      <c r="A48" s="15">
        <v>6</v>
      </c>
      <c r="E48" s="124">
        <v>4</v>
      </c>
    </row>
    <row r="49" spans="1:5" hidden="1">
      <c r="A49" s="15">
        <v>7</v>
      </c>
      <c r="E49" s="124">
        <v>5</v>
      </c>
    </row>
    <row r="50" spans="1:5" hidden="1">
      <c r="A50" s="15">
        <v>8</v>
      </c>
      <c r="E50" s="124">
        <v>6</v>
      </c>
    </row>
    <row r="51" spans="1:5" hidden="1">
      <c r="A51" s="15">
        <v>9</v>
      </c>
      <c r="E51" s="124" t="s">
        <v>103</v>
      </c>
    </row>
    <row r="52" spans="1:5" hidden="1">
      <c r="A52" s="15">
        <v>10</v>
      </c>
      <c r="E52" s="124" t="s">
        <v>104</v>
      </c>
    </row>
    <row r="53" spans="1:5" hidden="1">
      <c r="A53" s="15">
        <v>11</v>
      </c>
      <c r="E53" s="124" t="s">
        <v>142</v>
      </c>
    </row>
    <row r="54" spans="1:5" hidden="1">
      <c r="A54" s="15">
        <v>12</v>
      </c>
      <c r="E54" s="124" t="s">
        <v>143</v>
      </c>
    </row>
    <row r="55" spans="1:5" hidden="1">
      <c r="A55" s="15">
        <v>1</v>
      </c>
      <c r="E55" s="124" t="s">
        <v>144</v>
      </c>
    </row>
    <row r="56" spans="1:5" hidden="1">
      <c r="A56" s="15">
        <v>2</v>
      </c>
      <c r="E56" s="124" t="s">
        <v>145</v>
      </c>
    </row>
    <row r="57" spans="1:5" hidden="1">
      <c r="A57" s="16">
        <v>3</v>
      </c>
    </row>
    <row r="58" spans="1:5" hidden="1">
      <c r="A58" s="13"/>
    </row>
    <row r="59" spans="1:5" hidden="1">
      <c r="A59" s="47" t="s">
        <v>49</v>
      </c>
    </row>
    <row r="60" spans="1:5" hidden="1">
      <c r="A60" s="15">
        <v>1</v>
      </c>
    </row>
    <row r="61" spans="1:5" hidden="1">
      <c r="A61" s="15">
        <v>2</v>
      </c>
    </row>
    <row r="62" spans="1:5" hidden="1">
      <c r="A62" s="15">
        <v>3</v>
      </c>
    </row>
    <row r="63" spans="1:5" hidden="1">
      <c r="A63" s="15">
        <v>4</v>
      </c>
    </row>
    <row r="64" spans="1:5" hidden="1">
      <c r="A64" s="15">
        <v>5</v>
      </c>
    </row>
    <row r="65" spans="1:1" hidden="1">
      <c r="A65" s="15">
        <v>6</v>
      </c>
    </row>
    <row r="66" spans="1:1" hidden="1">
      <c r="A66" s="15">
        <v>7</v>
      </c>
    </row>
    <row r="67" spans="1:1" hidden="1">
      <c r="A67" s="15">
        <v>8</v>
      </c>
    </row>
    <row r="68" spans="1:1" hidden="1">
      <c r="A68" s="15">
        <v>9</v>
      </c>
    </row>
    <row r="69" spans="1:1" hidden="1">
      <c r="A69" s="15">
        <v>10</v>
      </c>
    </row>
    <row r="70" spans="1:1" hidden="1">
      <c r="A70" s="15">
        <v>11</v>
      </c>
    </row>
    <row r="71" spans="1:1" hidden="1">
      <c r="A71" s="15">
        <v>12</v>
      </c>
    </row>
    <row r="72" spans="1:1" hidden="1">
      <c r="A72" s="15">
        <v>13</v>
      </c>
    </row>
    <row r="73" spans="1:1" hidden="1">
      <c r="A73" s="15">
        <v>14</v>
      </c>
    </row>
    <row r="74" spans="1:1" hidden="1">
      <c r="A74" s="15">
        <v>15</v>
      </c>
    </row>
    <row r="75" spans="1:1" hidden="1">
      <c r="A75" s="15">
        <v>16</v>
      </c>
    </row>
    <row r="76" spans="1:1" hidden="1">
      <c r="A76" s="15">
        <v>17</v>
      </c>
    </row>
    <row r="77" spans="1:1" hidden="1">
      <c r="A77" s="15">
        <v>18</v>
      </c>
    </row>
    <row r="78" spans="1:1" hidden="1">
      <c r="A78" s="15">
        <v>19</v>
      </c>
    </row>
    <row r="79" spans="1:1" hidden="1">
      <c r="A79" s="15">
        <v>20</v>
      </c>
    </row>
    <row r="80" spans="1:1" hidden="1">
      <c r="A80" s="15">
        <v>21</v>
      </c>
    </row>
    <row r="81" spans="1:1" hidden="1">
      <c r="A81" s="15">
        <v>22</v>
      </c>
    </row>
    <row r="82" spans="1:1" hidden="1">
      <c r="A82" s="15">
        <v>23</v>
      </c>
    </row>
    <row r="83" spans="1:1" hidden="1">
      <c r="A83" s="15">
        <v>24</v>
      </c>
    </row>
    <row r="84" spans="1:1" hidden="1">
      <c r="A84" s="15">
        <v>25</v>
      </c>
    </row>
    <row r="85" spans="1:1" hidden="1">
      <c r="A85" s="15">
        <v>26</v>
      </c>
    </row>
    <row r="86" spans="1:1" hidden="1">
      <c r="A86" s="15">
        <v>27</v>
      </c>
    </row>
    <row r="87" spans="1:1" hidden="1">
      <c r="A87" s="15">
        <v>28</v>
      </c>
    </row>
    <row r="88" spans="1:1" hidden="1">
      <c r="A88" s="15">
        <v>29</v>
      </c>
    </row>
    <row r="89" spans="1:1" hidden="1">
      <c r="A89" s="15">
        <v>30</v>
      </c>
    </row>
    <row r="90" spans="1:1" hidden="1">
      <c r="A90" s="16">
        <v>31</v>
      </c>
    </row>
    <row r="91" spans="1:1" hidden="1"/>
    <row r="92" spans="1:1" hidden="1">
      <c r="A92" s="54" t="s">
        <v>86</v>
      </c>
    </row>
    <row r="93" spans="1:1" hidden="1">
      <c r="A93" s="43" t="s">
        <v>87</v>
      </c>
    </row>
    <row r="94" spans="1:1" hidden="1">
      <c r="A94" s="44" t="s">
        <v>88</v>
      </c>
    </row>
  </sheetData>
  <sheetProtection sheet="1" selectLockedCells="1"/>
  <mergeCells count="56">
    <mergeCell ref="X7:Z7"/>
    <mergeCell ref="E6:I6"/>
    <mergeCell ref="J6:K6"/>
    <mergeCell ref="A5:AA5"/>
    <mergeCell ref="B7:C7"/>
    <mergeCell ref="E7:I7"/>
    <mergeCell ref="X6:Z6"/>
    <mergeCell ref="B6:C6"/>
    <mergeCell ref="P6:S6"/>
    <mergeCell ref="J7:K7"/>
    <mergeCell ref="P7:S7"/>
    <mergeCell ref="T7:W7"/>
    <mergeCell ref="L7:N7"/>
    <mergeCell ref="T6:W6"/>
    <mergeCell ref="L6:N6"/>
    <mergeCell ref="A1:AA1"/>
    <mergeCell ref="C2:D2"/>
    <mergeCell ref="N2:AA2"/>
    <mergeCell ref="C3:D3"/>
    <mergeCell ref="C4:D4"/>
    <mergeCell ref="A4:B4"/>
    <mergeCell ref="A2:B3"/>
    <mergeCell ref="E4:S4"/>
    <mergeCell ref="A14:B14"/>
    <mergeCell ref="C13:C14"/>
    <mergeCell ref="I14:J14"/>
    <mergeCell ref="E12:I12"/>
    <mergeCell ref="B12:C12"/>
    <mergeCell ref="I13:J13"/>
    <mergeCell ref="J12:K12"/>
    <mergeCell ref="T8:W8"/>
    <mergeCell ref="F8:O8"/>
    <mergeCell ref="T9:W9"/>
    <mergeCell ref="T11:V11"/>
    <mergeCell ref="P8:S8"/>
    <mergeCell ref="B11:D11"/>
    <mergeCell ref="J11:K11"/>
    <mergeCell ref="E11:I11"/>
    <mergeCell ref="P9:S9"/>
    <mergeCell ref="F9:O9"/>
    <mergeCell ref="B9:C9"/>
    <mergeCell ref="J38:K38"/>
    <mergeCell ref="Y11:Z11"/>
    <mergeCell ref="X12:AA12"/>
    <mergeCell ref="T12:V12"/>
    <mergeCell ref="K14:R14"/>
    <mergeCell ref="S14:Z14"/>
    <mergeCell ref="L11:O11"/>
    <mergeCell ref="L12:O12"/>
    <mergeCell ref="P11:S11"/>
    <mergeCell ref="P12:S12"/>
    <mergeCell ref="S19:Z19"/>
    <mergeCell ref="S16:Z16"/>
    <mergeCell ref="S17:Z17"/>
    <mergeCell ref="S18:Z18"/>
    <mergeCell ref="AA14:AA15"/>
  </mergeCells>
  <phoneticPr fontId="2"/>
  <conditionalFormatting sqref="E7 J7 L7 P7 T7 B9 D9 F9:H9 P9 T9 Y11 W11:W12 D12 D14:F14">
    <cfRule type="expression" dxfId="10" priority="16" stopIfTrue="1">
      <formula>IF(B7="",TRUE,FALSE)</formula>
    </cfRule>
  </conditionalFormatting>
  <conditionalFormatting sqref="E9">
    <cfRule type="expression" dxfId="9" priority="2" stopIfTrue="1">
      <formula>IF($E$9="",TRUE,FALSE)</formula>
    </cfRule>
  </conditionalFormatting>
  <conditionalFormatting sqref="K16:K30 S16:S30">
    <cfRule type="expression" dxfId="8" priority="18" stopIfTrue="1">
      <formula>IF(AND(K16="",#REF!=""),TRUE,FALSE)</formula>
    </cfRule>
  </conditionalFormatting>
  <conditionalFormatting sqref="AB16:AB30">
    <cfRule type="expression" dxfId="7" priority="3" stopIfTrue="1">
      <formula>IF(AB16="",TRUE,FALSE)</formula>
    </cfRule>
  </conditionalFormatting>
  <dataValidations xWindow="170" yWindow="369" count="21">
    <dataValidation imeMode="halfKatakana" allowBlank="1" showInputMessage="1" showErrorMessage="1" sqref="J7 E16:F30" xr:uid="{2208594B-6B4B-4A6F-BD19-0F4A56C6392E}"/>
    <dataValidation imeMode="hiragana" allowBlank="1" showInputMessage="1" showErrorMessage="1" sqref="T13 W12 O16:O30 L13 E11:H12 D12 B12 J11 T7 T11 D9 F9:H9 P7 C16:D30" xr:uid="{8FE04AA2-7BFC-4F4D-A944-4CE1FAE9854F}"/>
    <dataValidation imeMode="off" allowBlank="1" showInputMessage="1" showErrorMessage="1" sqref="P9 T9 B16:B30 G16:H30" xr:uid="{6EF87978-BF08-4088-B435-F54F2CB517B8}"/>
    <dataValidation type="list" imeMode="off" allowBlank="1" showInputMessage="1" showErrorMessage="1" promptTitle="種目" prompt="▼をクリックし種目選択" sqref="A27:A30" xr:uid="{19AD7B58-7B6D-4CEF-947C-897B0732FA70}">
      <formula1>$A$39:$A$44</formula1>
    </dataValidation>
    <dataValidation type="list" imeMode="disabled" allowBlank="1" showInputMessage="1" showErrorMessage="1" prompt="リレー登録は〇_x000a_6名以内" sqref="J16:J30" xr:uid="{9AE9CFDA-308E-44AB-906A-973A09757A7F}">
      <formula1>$A$39</formula1>
    </dataValidation>
    <dataValidation type="textLength" imeMode="off" allowBlank="1" showInputMessage="1" showErrorMessage="1" sqref="L16:N30" xr:uid="{D765FF74-A764-48D1-9EE0-C8E328995F6C}">
      <formula1>1</formula1>
      <formula2>2</formula2>
    </dataValidation>
    <dataValidation type="list" imeMode="off" allowBlank="1" showInputMessage="1" showErrorMessage="1" sqref="R16:R30" xr:uid="{9FC36D11-44F1-4C31-9F4C-917042D1C4A5}">
      <formula1>$A$60:$A$90</formula1>
    </dataValidation>
    <dataValidation type="list" imeMode="off" allowBlank="1" showInputMessage="1" showErrorMessage="1" sqref="W11 Q16:Q30" xr:uid="{BAB96AA9-1699-4A59-A8FB-37963DCCC174}">
      <formula1>$A$46:$A$57</formula1>
    </dataValidation>
    <dataValidation type="list" imeMode="off" allowBlank="1" showInputMessage="1" showErrorMessage="1" sqref="P16:P30" xr:uid="{080FEF54-4458-4EF3-8FCE-66FD41D3148B}">
      <formula1>$A$42:$A$43</formula1>
    </dataValidation>
    <dataValidation type="whole" imeMode="halfAlpha" allowBlank="1" showInputMessage="1" showErrorMessage="1" sqref="B9:C9" xr:uid="{CDE7F618-48E6-4C3B-802A-BC55E6881B1E}">
      <formula1>1000000</formula1>
      <formula2>9999999</formula2>
    </dataValidation>
    <dataValidation type="list" allowBlank="1" showInputMessage="1" showErrorMessage="1" sqref="Y11:Z11" xr:uid="{D86E3441-CCD5-47EE-B0AE-EC596221B40C}">
      <formula1>$A$64:$A$79</formula1>
    </dataValidation>
    <dataValidation type="whole" imeMode="off" allowBlank="1" showInputMessage="1" showErrorMessage="1" sqref="F14:H14" xr:uid="{A563AE3D-25C7-4EF9-BE2E-1A9F5C63DA17}">
      <formula1>0</formula1>
      <formula2>99</formula2>
    </dataValidation>
    <dataValidation type="whole" imeMode="off" allowBlank="1" showInputMessage="1" showErrorMessage="1" sqref="E14" xr:uid="{30749B30-548C-4337-8097-C3B51B6A6DC4}">
      <formula1>0</formula1>
      <formula2>59</formula2>
    </dataValidation>
    <dataValidation type="whole" imeMode="off" allowBlank="1" showInputMessage="1" showErrorMessage="1" sqref="D14" xr:uid="{C94214BC-F7C6-4F3A-B211-F00896D847A8}">
      <formula1>0</formula1>
      <formula2>4</formula2>
    </dataValidation>
    <dataValidation type="list" allowBlank="1" showInputMessage="1" showErrorMessage="1" sqref="L7:N7" xr:uid="{570F7752-9B83-47E0-9E08-27D92050AF8B}">
      <formula1>$A$93:$A$94</formula1>
    </dataValidation>
    <dataValidation type="list" imeMode="off" allowBlank="1" showInputMessage="1" showErrorMessage="1" promptTitle="プログラムセット販売" prompt="プログラム5冊のｾｯﾄ販売を希望する場合１とする_x000a_" sqref="A12" xr:uid="{B3EA99CE-D9AC-490A-B172-5C6065FD846B}">
      <formula1>$C$45:$C$46</formula1>
    </dataValidation>
    <dataValidation type="list" allowBlank="1" showInputMessage="1" showErrorMessage="1" sqref="K16:K30" xr:uid="{1CEDAC55-90E3-43FF-B341-26DFECB5229B}">
      <formula1>$C$39:$C$41</formula1>
    </dataValidation>
    <dataValidation imeMode="on" allowBlank="1" showInputMessage="1" showErrorMessage="1" sqref="E7:I7" xr:uid="{362FA8CB-8991-4029-AB41-9356B954A0E3}"/>
    <dataValidation type="list" imeMode="off" allowBlank="1" showInputMessage="1" showErrorMessage="1" prompt="大学院生はM1-2/D1-3" sqref="I16:I30" xr:uid="{4E16BEA0-3CD7-4E6A-AC8A-F5E6ABB2D1E8}">
      <formula1>$E$45:$E$55</formula1>
    </dataValidation>
    <dataValidation type="list" allowBlank="1" showInputMessage="1" showErrorMessage="1" promptTitle="登録陸協" prompt="登録陸協の都道府県を選択してください" sqref="AB16:AB30" xr:uid="{40D293E4-2A2A-4E77-A8E4-4A3E1C4B54FC}">
      <formula1>$K$39:$K$44</formula1>
    </dataValidation>
    <dataValidation type="list" allowBlank="1" showInputMessage="1" showErrorMessage="1" sqref="E9" xr:uid="{5C4DA519-664B-470E-8E89-DF21E69AF37F}">
      <formula1>$K$39:$K$44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3" fitToHeight="2" orientation="landscape" r:id="rId1"/>
  <headerFooter alignWithMargins="0"/>
  <rowBreaks count="1" manualBreakCount="1">
    <brk id="30" max="2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2D4A-33E1-47E9-927A-8CF040240A66}">
  <sheetPr codeName="Sheet5">
    <tabColor rgb="FFFF66FF"/>
  </sheetPr>
  <dimension ref="A1:AN325"/>
  <sheetViews>
    <sheetView showGridLines="0" showRowColHeaders="0" view="pageBreakPreview" topLeftCell="A9" zoomScaleNormal="100" zoomScaleSheetLayoutView="100" workbookViewId="0">
      <selection activeCell="I16" sqref="I16"/>
    </sheetView>
  </sheetViews>
  <sheetFormatPr defaultColWidth="9" defaultRowHeight="13.2"/>
  <cols>
    <col min="1" max="1" width="11.77734375" style="4" customWidth="1"/>
    <col min="2" max="4" width="9" style="4"/>
    <col min="5" max="5" width="9.44140625" style="4" bestFit="1" customWidth="1"/>
    <col min="6" max="8" width="9" style="4"/>
    <col min="9" max="9" width="5.44140625" style="4" bestFit="1" customWidth="1"/>
    <col min="10" max="10" width="7.44140625" style="4" bestFit="1" customWidth="1"/>
    <col min="11" max="11" width="13.88671875" style="4" bestFit="1" customWidth="1"/>
    <col min="12" max="14" width="3.6640625" style="4" customWidth="1"/>
    <col min="15" max="15" width="16.6640625" style="4" customWidth="1"/>
    <col min="16" max="18" width="3.6640625" style="4" customWidth="1"/>
    <col min="19" max="19" width="10.77734375" style="4" customWidth="1"/>
    <col min="20" max="22" width="3.6640625" style="4" customWidth="1"/>
    <col min="23" max="23" width="10.77734375" style="4" customWidth="1"/>
    <col min="24" max="26" width="3.6640625" style="4" customWidth="1"/>
    <col min="27" max="27" width="3.77734375" style="4" customWidth="1"/>
    <col min="28" max="28" width="5.77734375" style="4" customWidth="1"/>
    <col min="29" max="29" width="9" style="4" hidden="1" customWidth="1"/>
    <col min="30" max="30" width="8.44140625" style="4" hidden="1" customWidth="1"/>
    <col min="31" max="31" width="10.44140625" style="4" hidden="1" customWidth="1"/>
    <col min="32" max="32" width="13.88671875" style="4" hidden="1" customWidth="1"/>
    <col min="33" max="33" width="11.21875" style="4" hidden="1" customWidth="1"/>
    <col min="34" max="34" width="24.88671875" style="4" hidden="1" customWidth="1"/>
    <col min="35" max="37" width="10.44140625" style="4" hidden="1" customWidth="1"/>
    <col min="38" max="39" width="15" style="4" hidden="1" customWidth="1"/>
    <col min="40" max="40" width="9" style="4" hidden="1" customWidth="1"/>
    <col min="41" max="16384" width="9" style="4"/>
  </cols>
  <sheetData>
    <row r="1" spans="1:40" ht="50.1" customHeight="1">
      <c r="A1" s="217" t="s">
        <v>140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105"/>
    </row>
    <row r="2" spans="1:40" ht="15" customHeight="1">
      <c r="A2" s="224" t="s">
        <v>117</v>
      </c>
      <c r="B2" s="224"/>
      <c r="C2" s="219" t="s">
        <v>52</v>
      </c>
      <c r="D2" s="219"/>
      <c r="N2" s="220" t="s">
        <v>10</v>
      </c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106"/>
    </row>
    <row r="3" spans="1:40" ht="15" customHeight="1">
      <c r="A3" s="224"/>
      <c r="B3" s="224"/>
      <c r="C3" s="221" t="s">
        <v>11</v>
      </c>
      <c r="D3" s="221"/>
    </row>
    <row r="4" spans="1:40" ht="45" customHeight="1">
      <c r="A4" s="264" t="s">
        <v>70</v>
      </c>
      <c r="B4" s="264"/>
      <c r="C4" s="222"/>
      <c r="D4" s="222"/>
      <c r="E4" s="225" t="str">
        <f>男子申込!E4</f>
        <v>2026 第74回兵庫リレーカーニバル申込書</v>
      </c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</row>
    <row r="5" spans="1:40" ht="23.4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104"/>
    </row>
    <row r="6" spans="1:40">
      <c r="B6" s="265" t="s">
        <v>11</v>
      </c>
      <c r="C6" s="266"/>
      <c r="E6" s="203" t="s">
        <v>85</v>
      </c>
      <c r="F6" s="204"/>
      <c r="G6" s="204"/>
      <c r="H6" s="204"/>
      <c r="I6" s="205"/>
      <c r="J6" s="203" t="s">
        <v>42</v>
      </c>
      <c r="K6" s="205"/>
      <c r="L6" s="267" t="s">
        <v>86</v>
      </c>
      <c r="M6" s="268"/>
      <c r="N6" s="269"/>
      <c r="P6" s="203" t="s">
        <v>0</v>
      </c>
      <c r="Q6" s="204"/>
      <c r="R6" s="204"/>
      <c r="S6" s="205"/>
      <c r="T6" s="203" t="s">
        <v>1</v>
      </c>
      <c r="U6" s="204"/>
      <c r="V6" s="204"/>
      <c r="W6" s="205"/>
      <c r="X6" s="227"/>
      <c r="Y6" s="228"/>
      <c r="Z6" s="228"/>
      <c r="AC6" s="38" t="s">
        <v>43</v>
      </c>
    </row>
    <row r="7" spans="1:40" ht="30" customHeight="1">
      <c r="A7" s="41" t="s">
        <v>61</v>
      </c>
      <c r="B7" s="246" t="str">
        <f>IF(男子申込!B7="","",男子申込!B7)</f>
        <v/>
      </c>
      <c r="C7" s="247"/>
      <c r="D7" s="148" t="s">
        <v>41</v>
      </c>
      <c r="E7" s="249" t="str">
        <f>IF(男子申込!E7="","",男子申込!E7)</f>
        <v/>
      </c>
      <c r="F7" s="250"/>
      <c r="G7" s="250"/>
      <c r="H7" s="250"/>
      <c r="I7" s="251"/>
      <c r="J7" s="249" t="str">
        <f>IF(男子申込!J7="","",男子申込!J7)</f>
        <v/>
      </c>
      <c r="K7" s="251"/>
      <c r="L7" s="259" t="str">
        <f>IF(男子申込!L7="","",男子申込!L7)</f>
        <v/>
      </c>
      <c r="M7" s="260"/>
      <c r="N7" s="261"/>
      <c r="O7" s="112" t="s">
        <v>60</v>
      </c>
      <c r="P7" s="262" t="str">
        <f>IF(男子申込!P7="","",男子申込!P7)</f>
        <v/>
      </c>
      <c r="Q7" s="263"/>
      <c r="R7" s="263"/>
      <c r="S7" s="263"/>
      <c r="T7" s="270" t="str">
        <f>IF(男子申込!T7="","",男子申込!T7)</f>
        <v/>
      </c>
      <c r="U7" s="271"/>
      <c r="V7" s="271"/>
      <c r="W7" s="272"/>
      <c r="X7" s="227"/>
      <c r="Y7" s="228"/>
      <c r="Z7" s="228"/>
      <c r="AC7" s="39" t="str">
        <f>IF(男子申込!AC7="","",男子申込!AC7)</f>
        <v/>
      </c>
    </row>
    <row r="8" spans="1:40" ht="13.5" customHeight="1">
      <c r="E8" s="116" t="s">
        <v>100</v>
      </c>
      <c r="F8" s="203" t="s">
        <v>122</v>
      </c>
      <c r="G8" s="204"/>
      <c r="H8" s="204"/>
      <c r="I8" s="204"/>
      <c r="J8" s="204"/>
      <c r="K8" s="204"/>
      <c r="L8" s="204"/>
      <c r="M8" s="204"/>
      <c r="N8" s="204"/>
      <c r="O8" s="205"/>
      <c r="P8" s="206" t="s">
        <v>13</v>
      </c>
      <c r="Q8" s="207"/>
      <c r="R8" s="207"/>
      <c r="S8" s="208"/>
      <c r="T8" s="229" t="s">
        <v>12</v>
      </c>
      <c r="U8" s="230"/>
      <c r="V8" s="230"/>
      <c r="W8" s="231"/>
    </row>
    <row r="9" spans="1:40" ht="30" customHeight="1">
      <c r="A9" s="40" t="s">
        <v>29</v>
      </c>
      <c r="B9" s="255" t="str">
        <f>IF(男子申込!B9="","",男子申込!B9)</f>
        <v/>
      </c>
      <c r="C9" s="256"/>
      <c r="D9" s="120" t="s">
        <v>99</v>
      </c>
      <c r="E9" s="40" t="str">
        <f>IF(男子申込!E9="","",男子申込!E9)</f>
        <v/>
      </c>
      <c r="F9" s="252" t="str">
        <f>IF(男子申込!F9="","",男子申込!F9)</f>
        <v/>
      </c>
      <c r="G9" s="253"/>
      <c r="H9" s="253"/>
      <c r="I9" s="253"/>
      <c r="J9" s="253"/>
      <c r="K9" s="253"/>
      <c r="L9" s="253"/>
      <c r="M9" s="253"/>
      <c r="N9" s="253"/>
      <c r="O9" s="254"/>
      <c r="P9" s="252" t="str">
        <f>IF(男子申込!P9="","",男子申込!P9)</f>
        <v/>
      </c>
      <c r="Q9" s="253"/>
      <c r="R9" s="253"/>
      <c r="S9" s="254"/>
      <c r="T9" s="252" t="str">
        <f>IF(男子申込!T9="","",男子申込!T9)</f>
        <v/>
      </c>
      <c r="U9" s="253"/>
      <c r="V9" s="253"/>
      <c r="W9" s="254"/>
    </row>
    <row r="11" spans="1:40" ht="30" customHeight="1">
      <c r="A11" s="156"/>
      <c r="B11" s="188" t="s">
        <v>28</v>
      </c>
      <c r="C11" s="189"/>
      <c r="D11" s="190"/>
      <c r="E11" s="248" t="str">
        <f>IF(L7="","県内・県外 未入力",IF(L7="県内","ｵｰﾌﾟﾝ種目(@\2000)","ｵｰﾌﾟﾝ種目(@\3000)"))</f>
        <v>県内・県外 未入力</v>
      </c>
      <c r="F11" s="248"/>
      <c r="G11" s="248"/>
      <c r="H11" s="248"/>
      <c r="I11" s="248"/>
      <c r="J11" s="179" t="s">
        <v>109</v>
      </c>
      <c r="K11" s="179"/>
      <c r="L11" s="179" t="s">
        <v>72</v>
      </c>
      <c r="M11" s="179"/>
      <c r="N11" s="179"/>
      <c r="O11" s="179"/>
      <c r="P11" s="181" t="s">
        <v>62</v>
      </c>
      <c r="Q11" s="181"/>
      <c r="R11" s="181"/>
      <c r="S11" s="181"/>
      <c r="T11" s="179" t="s">
        <v>63</v>
      </c>
      <c r="U11" s="179"/>
      <c r="V11" s="179"/>
      <c r="W11" s="51">
        <f>IF(男子申込!W11="","",男子申込!W11)</f>
        <v>3</v>
      </c>
      <c r="X11" s="49" t="s">
        <v>64</v>
      </c>
      <c r="Y11" s="271" t="str">
        <f>IF(男子申込!Y11="","",男子申込!Y11)</f>
        <v/>
      </c>
      <c r="Z11" s="271"/>
      <c r="AA11" s="50" t="s">
        <v>65</v>
      </c>
      <c r="AB11" s="109"/>
    </row>
    <row r="12" spans="1:40" ht="30" customHeight="1">
      <c r="A12" s="99"/>
      <c r="B12" s="212" t="s">
        <v>71</v>
      </c>
      <c r="C12" s="212"/>
      <c r="D12" s="20">
        <f>COUNT(AC16:AC35)</f>
        <v>0</v>
      </c>
      <c r="E12" s="213">
        <f>COUNTA(K16:K35)</f>
        <v>0</v>
      </c>
      <c r="F12" s="213"/>
      <c r="G12" s="213"/>
      <c r="H12" s="213"/>
      <c r="I12" s="213"/>
      <c r="J12" s="216">
        <f>IF(COUNTIF(J16:J35,"○")&gt;=4,1,0)</f>
        <v>0</v>
      </c>
      <c r="K12" s="216"/>
      <c r="L12" s="180">
        <f>IF(L7="県内",E12*2000,E12*3000)+J12*6000+A12*4000</f>
        <v>0</v>
      </c>
      <c r="M12" s="180"/>
      <c r="N12" s="180"/>
      <c r="O12" s="180"/>
      <c r="P12" s="182">
        <f>L12+男子申込!L12</f>
        <v>0</v>
      </c>
      <c r="Q12" s="182"/>
      <c r="R12" s="182"/>
      <c r="S12" s="182"/>
      <c r="T12" s="172" t="s">
        <v>67</v>
      </c>
      <c r="U12" s="172"/>
      <c r="V12" s="172"/>
      <c r="W12" s="135" t="str">
        <f>IF(男子申込!W12="","",男子申込!W12)</f>
        <v/>
      </c>
      <c r="X12" s="170" t="s">
        <v>66</v>
      </c>
      <c r="Y12" s="170"/>
      <c r="Z12" s="170"/>
      <c r="AA12" s="171"/>
      <c r="AB12" s="110"/>
    </row>
    <row r="13" spans="1:40" ht="13.5" customHeight="1">
      <c r="C13" s="257" t="s">
        <v>105</v>
      </c>
      <c r="D13" s="100" t="s">
        <v>2</v>
      </c>
      <c r="E13" s="101" t="s">
        <v>77</v>
      </c>
      <c r="F13" s="101" t="s">
        <v>78</v>
      </c>
      <c r="G13" s="153"/>
      <c r="H13" s="154"/>
      <c r="I13" s="278" t="s">
        <v>79</v>
      </c>
      <c r="J13" s="279"/>
      <c r="K13" s="19"/>
      <c r="L13" s="42"/>
      <c r="M13" s="11"/>
      <c r="N13" s="11"/>
      <c r="O13" s="11"/>
      <c r="P13" s="11"/>
      <c r="Q13" s="11"/>
      <c r="R13" s="11"/>
      <c r="S13" s="19"/>
      <c r="T13" s="12"/>
      <c r="U13" s="10"/>
      <c r="V13" s="10"/>
      <c r="W13" s="10"/>
      <c r="X13" s="10"/>
      <c r="Y13" s="10"/>
      <c r="Z13" s="10"/>
      <c r="AA13" s="10"/>
      <c r="AB13" s="11"/>
    </row>
    <row r="14" spans="1:40" ht="30" customHeight="1" thickBot="1">
      <c r="A14" s="209" t="s">
        <v>84</v>
      </c>
      <c r="B14" s="209"/>
      <c r="C14" s="258"/>
      <c r="D14" s="20">
        <v>0</v>
      </c>
      <c r="E14" s="99"/>
      <c r="F14" s="99"/>
      <c r="G14" s="155"/>
      <c r="H14" s="159"/>
      <c r="I14" s="212" t="str">
        <f>RIGHT(FIXED((D14*10000+E14*100+F14)/100000,5),5)</f>
        <v>00000</v>
      </c>
      <c r="J14" s="212"/>
      <c r="K14" s="273" t="s">
        <v>114</v>
      </c>
      <c r="L14" s="274"/>
      <c r="M14" s="274"/>
      <c r="N14" s="274"/>
      <c r="O14" s="274"/>
      <c r="P14" s="274"/>
      <c r="Q14" s="274"/>
      <c r="R14" s="275"/>
      <c r="S14" s="176"/>
      <c r="T14" s="177"/>
      <c r="U14" s="177"/>
      <c r="V14" s="177"/>
      <c r="W14" s="177"/>
      <c r="X14" s="177"/>
      <c r="Y14" s="177"/>
      <c r="Z14" s="178"/>
      <c r="AA14" s="276" t="s">
        <v>126</v>
      </c>
      <c r="AB14" s="113" t="s">
        <v>89</v>
      </c>
      <c r="AE14" s="4" t="s">
        <v>14</v>
      </c>
    </row>
    <row r="15" spans="1:40" ht="26.4">
      <c r="A15" s="57" t="s">
        <v>53</v>
      </c>
      <c r="B15" s="102" t="s">
        <v>75</v>
      </c>
      <c r="C15" s="58" t="s">
        <v>58</v>
      </c>
      <c r="D15" s="58" t="s">
        <v>1</v>
      </c>
      <c r="E15" s="58" t="s">
        <v>59</v>
      </c>
      <c r="F15" s="58" t="s">
        <v>3</v>
      </c>
      <c r="G15" s="161" t="s">
        <v>124</v>
      </c>
      <c r="H15" s="161" t="s">
        <v>125</v>
      </c>
      <c r="I15" s="143" t="s">
        <v>118</v>
      </c>
      <c r="J15" s="142" t="s">
        <v>46</v>
      </c>
      <c r="K15" s="59" t="s">
        <v>16</v>
      </c>
      <c r="L15" s="60" t="s">
        <v>2</v>
      </c>
      <c r="M15" s="61" t="s">
        <v>50</v>
      </c>
      <c r="N15" s="62" t="s">
        <v>57</v>
      </c>
      <c r="O15" s="63" t="s">
        <v>51</v>
      </c>
      <c r="P15" s="64" t="s">
        <v>47</v>
      </c>
      <c r="Q15" s="64" t="s">
        <v>48</v>
      </c>
      <c r="R15" s="65" t="s">
        <v>49</v>
      </c>
      <c r="S15" s="128"/>
      <c r="T15" s="129"/>
      <c r="U15" s="130"/>
      <c r="V15" s="130"/>
      <c r="W15" s="130"/>
      <c r="X15" s="129"/>
      <c r="Y15" s="129"/>
      <c r="Z15" s="131"/>
      <c r="AA15" s="277"/>
      <c r="AB15" s="114" t="s">
        <v>90</v>
      </c>
      <c r="AE15" s="21" t="s">
        <v>23</v>
      </c>
      <c r="AF15" s="22" t="s">
        <v>21</v>
      </c>
      <c r="AG15" s="22" t="s">
        <v>22</v>
      </c>
      <c r="AH15" s="22" t="s">
        <v>132</v>
      </c>
      <c r="AI15" s="22" t="s">
        <v>20</v>
      </c>
      <c r="AJ15" s="22" t="s">
        <v>24</v>
      </c>
      <c r="AK15" s="22" t="s">
        <v>25</v>
      </c>
      <c r="AL15" s="22" t="s">
        <v>26</v>
      </c>
      <c r="AM15" s="22" t="s">
        <v>27</v>
      </c>
      <c r="AN15" s="23" t="s">
        <v>35</v>
      </c>
    </row>
    <row r="16" spans="1:40" ht="30" customHeight="1">
      <c r="A16" s="68"/>
      <c r="B16" s="5"/>
      <c r="C16" s="150"/>
      <c r="D16" s="150"/>
      <c r="E16" s="150"/>
      <c r="F16" s="150"/>
      <c r="G16" s="150"/>
      <c r="H16" s="150"/>
      <c r="I16" s="5"/>
      <c r="J16" s="86"/>
      <c r="K16" s="87"/>
      <c r="L16" s="146"/>
      <c r="M16" s="88"/>
      <c r="N16" s="89"/>
      <c r="O16" s="136"/>
      <c r="P16" s="90"/>
      <c r="Q16" s="90"/>
      <c r="R16" s="89"/>
      <c r="S16" s="183" t="s">
        <v>130</v>
      </c>
      <c r="T16" s="184"/>
      <c r="U16" s="184"/>
      <c r="V16" s="184"/>
      <c r="W16" s="184"/>
      <c r="X16" s="184"/>
      <c r="Y16" s="184"/>
      <c r="Z16" s="185"/>
      <c r="AA16" s="66" t="str">
        <f>IF(AF16="","",COUNTA(K16))</f>
        <v/>
      </c>
      <c r="AB16" s="157"/>
      <c r="AC16" s="18" t="str">
        <f>IF(AA16="","",VALUE(AA16&amp;IF(LENB(I16)=2,RIGHTB(I16,1),I16)))</f>
        <v/>
      </c>
      <c r="AD16" s="18" t="str">
        <f>IF(J16="","","s"&amp;COUNTIF(J16,"○"))</f>
        <v/>
      </c>
      <c r="AE16" s="24" t="str">
        <f>IF(C16="","",200000000+男子申込!$AE$11*100+1)</f>
        <v/>
      </c>
      <c r="AF16" s="7" t="str">
        <f>ASC(IF(C16="","",IF(LENB(C16)+LENB(D16)&gt;=10,C16&amp;D16,IF(LENB(C16)+LENB(D16)&gt;=8,C16&amp;"  "&amp;D16,IF(LENB(C16)+LENB(D16)&gt;=6,C16&amp;"    "&amp;D16,C16&amp;"      "&amp;D16)))&amp;IF(I16="","","("&amp;I16&amp;")")))</f>
        <v/>
      </c>
      <c r="AG16" s="8" t="str">
        <f t="shared" ref="AG16:AG35" si="0">IF(AND(E16="",F16=""),"",ASC(E16)&amp;" "&amp;ASC(F16))</f>
        <v/>
      </c>
      <c r="AH16" s="8" t="str">
        <f>IF(AND(F16="",G16=""),"",UPPER(ASC(G16))&amp;" "&amp;PROPER(ASC(H16)))</f>
        <v/>
      </c>
      <c r="AI16" s="8" t="str">
        <f t="shared" ref="AI16:AI35" si="1">IF(C16="","",VALUE(LEFT(AE16,1)))</f>
        <v/>
      </c>
      <c r="AJ16" s="8" t="str">
        <f t="shared" ref="AJ16:AJ35" si="2">IF(C16="","",VLOOKUP(AB16,$K$39:$L$44,2,FALSE))</f>
        <v/>
      </c>
      <c r="AK16" s="7" t="str">
        <f t="shared" ref="AK16:AK35" si="3">IF(AF16="","",$B$7)</f>
        <v/>
      </c>
      <c r="AL16" s="7"/>
      <c r="AM16" s="7" t="str">
        <f t="shared" ref="AM16:AM35" si="4">IF(K16="","",VLOOKUP(K16,$C$39:$E$40,2,FALSE)&amp;" "&amp;RIGHT(FIXED(VALUE(L16&amp;M16&amp;IF(LENB(N16)=1,N16&amp;"0",N16))/VLOOKUP(K16,$C$39:$E$40,3,FALSE),VLOOKUP(K16,$C$39:$F$40,4,FALSE)),VLOOKUP(K16,$C$39:$F$40,4,FALSE)))</f>
        <v/>
      </c>
      <c r="AN16" s="25" t="str">
        <f t="shared" ref="AN16:AN30" si="5">IF(T16="","",VLOOKUP(S16,$C$39:$E$40,2,FALSE)&amp;" "&amp;RIGHT(FIXED(VALUE(T16&amp;U16&amp;IF(LENB(V16)=1,V16&amp;"0",V16))/VLOOKUP(S16,$C$39:$E$40,3,FALSE),VLOOKUP(S16,$C$39:$F$40,4,FALSE)),VLOOKUP(S16,$C$39:$F$40,4,FALSE)))</f>
        <v/>
      </c>
    </row>
    <row r="17" spans="1:40" ht="30" customHeight="1">
      <c r="A17" s="69"/>
      <c r="B17" s="6"/>
      <c r="C17" s="151"/>
      <c r="D17" s="151"/>
      <c r="E17" s="151"/>
      <c r="F17" s="151"/>
      <c r="G17" s="151"/>
      <c r="H17" s="151"/>
      <c r="I17" s="6"/>
      <c r="J17" s="48"/>
      <c r="K17" s="91"/>
      <c r="L17" s="147"/>
      <c r="M17" s="92"/>
      <c r="N17" s="93"/>
      <c r="O17" s="137"/>
      <c r="P17" s="94"/>
      <c r="Q17" s="94"/>
      <c r="R17" s="93"/>
      <c r="S17" s="183" t="s">
        <v>131</v>
      </c>
      <c r="T17" s="184"/>
      <c r="U17" s="184"/>
      <c r="V17" s="184"/>
      <c r="W17" s="184"/>
      <c r="X17" s="184"/>
      <c r="Y17" s="184"/>
      <c r="Z17" s="185"/>
      <c r="AA17" s="67" t="str">
        <f t="shared" ref="AA17:AA30" si="6">IF(AF17="","",COUNTA(K17))</f>
        <v/>
      </c>
      <c r="AB17" s="158"/>
      <c r="AC17" s="18" t="str">
        <f t="shared" ref="AC17:AC35" si="7">IF(AA17="","",VALUE(AA17&amp;IF(LENB(I17)=2,RIGHTB(I17,1),I17)))</f>
        <v/>
      </c>
      <c r="AD17" s="18" t="str">
        <f>IF(J17="","","s"&amp;COUNTIF($J$16:J17,"○"))</f>
        <v/>
      </c>
      <c r="AE17" s="24" t="str">
        <f>IF(C17="","",200000000+男子申込!$AE$11*100+2)</f>
        <v/>
      </c>
      <c r="AF17" s="7" t="str">
        <f t="shared" ref="AF17:AF35" si="8">ASC(IF(C17="","",IF(LENB(C17)+LENB(D17)&gt;=10,C17&amp;D17,IF(LENB(C17)+LENB(D17)&gt;=8,C17&amp;"  "&amp;D17,IF(LENB(C17)+LENB(D17)&gt;=6,C17&amp;"    "&amp;D17,C17&amp;"      "&amp;D17)))&amp;IF(I17="","","("&amp;I17&amp;")")))</f>
        <v/>
      </c>
      <c r="AG17" s="8" t="str">
        <f t="shared" si="0"/>
        <v/>
      </c>
      <c r="AH17" s="8" t="str">
        <f t="shared" ref="AH17:AH35" si="9">IF(AND(F17="",G17=""),"",UPPER(ASC(G17))&amp;" "&amp;PROPER(ASC(H17)))</f>
        <v/>
      </c>
      <c r="AI17" s="8" t="str">
        <f t="shared" si="1"/>
        <v/>
      </c>
      <c r="AJ17" s="8" t="str">
        <f t="shared" si="2"/>
        <v/>
      </c>
      <c r="AK17" s="7" t="str">
        <f t="shared" si="3"/>
        <v/>
      </c>
      <c r="AL17" s="7"/>
      <c r="AM17" s="7" t="str">
        <f t="shared" si="4"/>
        <v/>
      </c>
      <c r="AN17" s="25" t="str">
        <f t="shared" si="5"/>
        <v/>
      </c>
    </row>
    <row r="18" spans="1:40" ht="30" customHeight="1">
      <c r="A18" s="69"/>
      <c r="B18" s="6"/>
      <c r="C18" s="151"/>
      <c r="D18" s="151"/>
      <c r="E18" s="151"/>
      <c r="F18" s="151"/>
      <c r="G18" s="151"/>
      <c r="H18" s="151"/>
      <c r="I18" s="6"/>
      <c r="J18" s="48"/>
      <c r="K18" s="91"/>
      <c r="L18" s="147"/>
      <c r="M18" s="92"/>
      <c r="N18" s="93"/>
      <c r="O18" s="137"/>
      <c r="P18" s="94"/>
      <c r="Q18" s="94"/>
      <c r="R18" s="93"/>
      <c r="S18" s="183" t="s">
        <v>128</v>
      </c>
      <c r="T18" s="184"/>
      <c r="U18" s="184"/>
      <c r="V18" s="184"/>
      <c r="W18" s="184"/>
      <c r="X18" s="184"/>
      <c r="Y18" s="184"/>
      <c r="Z18" s="185"/>
      <c r="AA18" s="67" t="str">
        <f t="shared" si="6"/>
        <v/>
      </c>
      <c r="AB18" s="158"/>
      <c r="AC18" s="18" t="str">
        <f t="shared" si="7"/>
        <v/>
      </c>
      <c r="AD18" s="18" t="str">
        <f>IF(J18="","","s"&amp;COUNTIF($J$16:J18,"○"))</f>
        <v/>
      </c>
      <c r="AE18" s="24" t="str">
        <f>IF(C18="","",200000000+男子申込!$AE$11*100+3)</f>
        <v/>
      </c>
      <c r="AF18" s="7" t="str">
        <f t="shared" si="8"/>
        <v/>
      </c>
      <c r="AG18" s="8" t="str">
        <f t="shared" si="0"/>
        <v/>
      </c>
      <c r="AH18" s="8" t="str">
        <f t="shared" si="9"/>
        <v/>
      </c>
      <c r="AI18" s="8" t="str">
        <f t="shared" si="1"/>
        <v/>
      </c>
      <c r="AJ18" s="8" t="str">
        <f t="shared" si="2"/>
        <v/>
      </c>
      <c r="AK18" s="7" t="str">
        <f t="shared" si="3"/>
        <v/>
      </c>
      <c r="AL18" s="7"/>
      <c r="AM18" s="7" t="str">
        <f t="shared" si="4"/>
        <v/>
      </c>
      <c r="AN18" s="25" t="str">
        <f t="shared" si="5"/>
        <v/>
      </c>
    </row>
    <row r="19" spans="1:40" ht="30" customHeight="1">
      <c r="A19" s="69"/>
      <c r="B19" s="6"/>
      <c r="C19" s="151"/>
      <c r="D19" s="151"/>
      <c r="E19" s="151"/>
      <c r="F19" s="151"/>
      <c r="G19" s="151"/>
      <c r="H19" s="151"/>
      <c r="I19" s="6"/>
      <c r="J19" s="48"/>
      <c r="K19" s="91"/>
      <c r="L19" s="147"/>
      <c r="M19" s="92"/>
      <c r="N19" s="93"/>
      <c r="O19" s="137"/>
      <c r="P19" s="94"/>
      <c r="Q19" s="94"/>
      <c r="R19" s="93"/>
      <c r="S19" s="183" t="s">
        <v>129</v>
      </c>
      <c r="T19" s="184"/>
      <c r="U19" s="184"/>
      <c r="V19" s="184"/>
      <c r="W19" s="184"/>
      <c r="X19" s="184"/>
      <c r="Y19" s="184"/>
      <c r="Z19" s="185"/>
      <c r="AA19" s="67" t="str">
        <f t="shared" si="6"/>
        <v/>
      </c>
      <c r="AB19" s="158"/>
      <c r="AC19" s="18" t="str">
        <f t="shared" si="7"/>
        <v/>
      </c>
      <c r="AD19" s="18" t="str">
        <f>IF(J19="","","s"&amp;COUNTIF($J$16:J19,"○"))</f>
        <v/>
      </c>
      <c r="AE19" s="24" t="str">
        <f>IF(C19="","",200000000+男子申込!$AE$11*100+4)</f>
        <v/>
      </c>
      <c r="AF19" s="7" t="str">
        <f t="shared" si="8"/>
        <v/>
      </c>
      <c r="AG19" s="8" t="str">
        <f t="shared" si="0"/>
        <v/>
      </c>
      <c r="AH19" s="8" t="str">
        <f t="shared" si="9"/>
        <v/>
      </c>
      <c r="AI19" s="8" t="str">
        <f t="shared" si="1"/>
        <v/>
      </c>
      <c r="AJ19" s="8" t="str">
        <f t="shared" si="2"/>
        <v/>
      </c>
      <c r="AK19" s="7" t="str">
        <f t="shared" si="3"/>
        <v/>
      </c>
      <c r="AL19" s="7"/>
      <c r="AM19" s="7" t="str">
        <f t="shared" si="4"/>
        <v/>
      </c>
      <c r="AN19" s="25" t="str">
        <f t="shared" si="5"/>
        <v/>
      </c>
    </row>
    <row r="20" spans="1:40" ht="30" customHeight="1">
      <c r="A20" s="69"/>
      <c r="B20" s="6"/>
      <c r="C20" s="151"/>
      <c r="D20" s="151"/>
      <c r="E20" s="151"/>
      <c r="F20" s="151"/>
      <c r="G20" s="151"/>
      <c r="H20" s="151"/>
      <c r="I20" s="6"/>
      <c r="J20" s="48"/>
      <c r="K20" s="91"/>
      <c r="L20" s="147"/>
      <c r="M20" s="92"/>
      <c r="N20" s="93"/>
      <c r="O20" s="137"/>
      <c r="P20" s="94"/>
      <c r="Q20" s="94"/>
      <c r="R20" s="93"/>
      <c r="S20" s="138"/>
      <c r="T20" s="139"/>
      <c r="U20" s="139"/>
      <c r="V20" s="139"/>
      <c r="W20" s="139"/>
      <c r="X20" s="139"/>
      <c r="Y20" s="139"/>
      <c r="Z20" s="140"/>
      <c r="AA20" s="67" t="str">
        <f t="shared" si="6"/>
        <v/>
      </c>
      <c r="AB20" s="158"/>
      <c r="AC20" s="18" t="str">
        <f t="shared" si="7"/>
        <v/>
      </c>
      <c r="AD20" s="18" t="str">
        <f>IF(J20="","","s"&amp;COUNTIF($J$16:J20,"○"))</f>
        <v/>
      </c>
      <c r="AE20" s="24" t="str">
        <f>IF(C20="","",200000000+男子申込!$AE$11*100+5)</f>
        <v/>
      </c>
      <c r="AF20" s="7" t="str">
        <f t="shared" si="8"/>
        <v/>
      </c>
      <c r="AG20" s="8" t="str">
        <f t="shared" si="0"/>
        <v/>
      </c>
      <c r="AH20" s="8" t="str">
        <f t="shared" si="9"/>
        <v/>
      </c>
      <c r="AI20" s="8" t="str">
        <f t="shared" si="1"/>
        <v/>
      </c>
      <c r="AJ20" s="8" t="str">
        <f t="shared" si="2"/>
        <v/>
      </c>
      <c r="AK20" s="7" t="str">
        <f t="shared" si="3"/>
        <v/>
      </c>
      <c r="AL20" s="7"/>
      <c r="AM20" s="7" t="str">
        <f t="shared" si="4"/>
        <v/>
      </c>
      <c r="AN20" s="25" t="str">
        <f t="shared" si="5"/>
        <v/>
      </c>
    </row>
    <row r="21" spans="1:40" ht="30" customHeight="1">
      <c r="A21" s="69"/>
      <c r="B21" s="6"/>
      <c r="C21" s="151"/>
      <c r="D21" s="151"/>
      <c r="E21" s="151"/>
      <c r="F21" s="151"/>
      <c r="G21" s="151"/>
      <c r="H21" s="151"/>
      <c r="I21" s="6"/>
      <c r="J21" s="48"/>
      <c r="K21" s="91"/>
      <c r="L21" s="147"/>
      <c r="M21" s="92"/>
      <c r="N21" s="93"/>
      <c r="O21" s="137"/>
      <c r="P21" s="94"/>
      <c r="Q21" s="94"/>
      <c r="R21" s="93"/>
      <c r="S21" s="138"/>
      <c r="T21" s="139"/>
      <c r="U21" s="139"/>
      <c r="V21" s="139"/>
      <c r="W21" s="139"/>
      <c r="X21" s="139"/>
      <c r="Y21" s="139"/>
      <c r="Z21" s="140"/>
      <c r="AA21" s="67" t="str">
        <f t="shared" si="6"/>
        <v/>
      </c>
      <c r="AB21" s="158"/>
      <c r="AC21" s="18" t="str">
        <f t="shared" si="7"/>
        <v/>
      </c>
      <c r="AD21" s="18" t="str">
        <f>IF(J21="","","s"&amp;COUNTIF($J$16:J21,"○"))</f>
        <v/>
      </c>
      <c r="AE21" s="24" t="str">
        <f>IF(C21="","",200000000+男子申込!$AE$11*100+6)</f>
        <v/>
      </c>
      <c r="AF21" s="7" t="str">
        <f t="shared" si="8"/>
        <v/>
      </c>
      <c r="AG21" s="8" t="str">
        <f t="shared" si="0"/>
        <v/>
      </c>
      <c r="AH21" s="8" t="str">
        <f t="shared" si="9"/>
        <v/>
      </c>
      <c r="AI21" s="8" t="str">
        <f t="shared" si="1"/>
        <v/>
      </c>
      <c r="AJ21" s="8" t="str">
        <f t="shared" si="2"/>
        <v/>
      </c>
      <c r="AK21" s="7" t="str">
        <f t="shared" si="3"/>
        <v/>
      </c>
      <c r="AL21" s="7"/>
      <c r="AM21" s="7" t="str">
        <f t="shared" si="4"/>
        <v/>
      </c>
      <c r="AN21" s="25" t="str">
        <f t="shared" si="5"/>
        <v/>
      </c>
    </row>
    <row r="22" spans="1:40" ht="30" customHeight="1">
      <c r="A22" s="69"/>
      <c r="B22" s="6"/>
      <c r="C22" s="151"/>
      <c r="D22" s="151"/>
      <c r="E22" s="151"/>
      <c r="F22" s="151"/>
      <c r="G22" s="151"/>
      <c r="H22" s="151"/>
      <c r="I22" s="6"/>
      <c r="J22" s="48"/>
      <c r="K22" s="91"/>
      <c r="L22" s="147"/>
      <c r="M22" s="92"/>
      <c r="N22" s="93"/>
      <c r="O22" s="137"/>
      <c r="P22" s="94"/>
      <c r="Q22" s="94"/>
      <c r="R22" s="93"/>
      <c r="S22" s="138"/>
      <c r="T22" s="139"/>
      <c r="U22" s="139"/>
      <c r="V22" s="139"/>
      <c r="W22" s="139"/>
      <c r="X22" s="139"/>
      <c r="Y22" s="139"/>
      <c r="Z22" s="140"/>
      <c r="AA22" s="67" t="str">
        <f t="shared" si="6"/>
        <v/>
      </c>
      <c r="AB22" s="158" t="str">
        <f t="shared" ref="AB22:AB30" si="10">IF(AG22="","",COUNTA(L22,T22))</f>
        <v/>
      </c>
      <c r="AC22" s="18" t="str">
        <f t="shared" si="7"/>
        <v/>
      </c>
      <c r="AD22" s="18" t="str">
        <f>IF(J22="","","s"&amp;COUNTIF($J$16:J22,"○"))</f>
        <v/>
      </c>
      <c r="AE22" s="24" t="str">
        <f>IF(C22="","",200000000+男子申込!$AE$11*100+7)</f>
        <v/>
      </c>
      <c r="AF22" s="7" t="str">
        <f t="shared" si="8"/>
        <v/>
      </c>
      <c r="AG22" s="8" t="str">
        <f t="shared" si="0"/>
        <v/>
      </c>
      <c r="AH22" s="8" t="str">
        <f t="shared" si="9"/>
        <v/>
      </c>
      <c r="AI22" s="8" t="str">
        <f t="shared" si="1"/>
        <v/>
      </c>
      <c r="AJ22" s="8" t="str">
        <f t="shared" si="2"/>
        <v/>
      </c>
      <c r="AK22" s="7" t="str">
        <f t="shared" si="3"/>
        <v/>
      </c>
      <c r="AL22" s="7"/>
      <c r="AM22" s="7" t="str">
        <f t="shared" si="4"/>
        <v/>
      </c>
      <c r="AN22" s="25" t="str">
        <f t="shared" si="5"/>
        <v/>
      </c>
    </row>
    <row r="23" spans="1:40" ht="30" customHeight="1">
      <c r="A23" s="69"/>
      <c r="B23" s="6"/>
      <c r="C23" s="151"/>
      <c r="D23" s="151"/>
      <c r="E23" s="151"/>
      <c r="F23" s="151"/>
      <c r="G23" s="151"/>
      <c r="H23" s="151"/>
      <c r="I23" s="6"/>
      <c r="J23" s="48"/>
      <c r="K23" s="91"/>
      <c r="L23" s="147"/>
      <c r="M23" s="92"/>
      <c r="N23" s="93"/>
      <c r="O23" s="137"/>
      <c r="P23" s="94"/>
      <c r="Q23" s="94"/>
      <c r="R23" s="93"/>
      <c r="S23" s="138"/>
      <c r="T23" s="139"/>
      <c r="U23" s="139"/>
      <c r="V23" s="139"/>
      <c r="W23" s="139"/>
      <c r="X23" s="139"/>
      <c r="Y23" s="139"/>
      <c r="Z23" s="140"/>
      <c r="AA23" s="67" t="str">
        <f t="shared" si="6"/>
        <v/>
      </c>
      <c r="AB23" s="158" t="str">
        <f t="shared" si="10"/>
        <v/>
      </c>
      <c r="AC23" s="18" t="str">
        <f t="shared" si="7"/>
        <v/>
      </c>
      <c r="AD23" s="18" t="str">
        <f>IF(J23="","","s"&amp;COUNTIF($J$16:J23,"○"))</f>
        <v/>
      </c>
      <c r="AE23" s="24" t="str">
        <f>IF(C23="","",200000000+男子申込!$AE$11*100+8)</f>
        <v/>
      </c>
      <c r="AF23" s="7" t="str">
        <f t="shared" si="8"/>
        <v/>
      </c>
      <c r="AG23" s="8" t="str">
        <f t="shared" si="0"/>
        <v/>
      </c>
      <c r="AH23" s="8" t="str">
        <f t="shared" si="9"/>
        <v/>
      </c>
      <c r="AI23" s="8" t="str">
        <f t="shared" si="1"/>
        <v/>
      </c>
      <c r="AJ23" s="8" t="str">
        <f t="shared" si="2"/>
        <v/>
      </c>
      <c r="AK23" s="7" t="str">
        <f t="shared" si="3"/>
        <v/>
      </c>
      <c r="AL23" s="7"/>
      <c r="AM23" s="7" t="str">
        <f t="shared" si="4"/>
        <v/>
      </c>
      <c r="AN23" s="25" t="str">
        <f t="shared" si="5"/>
        <v/>
      </c>
    </row>
    <row r="24" spans="1:40" ht="30" customHeight="1">
      <c r="A24" s="69"/>
      <c r="B24" s="6"/>
      <c r="C24" s="151"/>
      <c r="D24" s="151"/>
      <c r="E24" s="151"/>
      <c r="F24" s="151"/>
      <c r="G24" s="151"/>
      <c r="H24" s="151"/>
      <c r="I24" s="6"/>
      <c r="J24" s="48"/>
      <c r="K24" s="91"/>
      <c r="L24" s="147"/>
      <c r="M24" s="92"/>
      <c r="N24" s="93"/>
      <c r="O24" s="137"/>
      <c r="P24" s="94"/>
      <c r="Q24" s="94"/>
      <c r="R24" s="93"/>
      <c r="S24" s="138"/>
      <c r="T24" s="139"/>
      <c r="U24" s="139"/>
      <c r="V24" s="139"/>
      <c r="W24" s="139"/>
      <c r="X24" s="139"/>
      <c r="Y24" s="139"/>
      <c r="Z24" s="140"/>
      <c r="AA24" s="67" t="str">
        <f t="shared" si="6"/>
        <v/>
      </c>
      <c r="AB24" s="158" t="str">
        <f t="shared" si="10"/>
        <v/>
      </c>
      <c r="AC24" s="18" t="str">
        <f t="shared" si="7"/>
        <v/>
      </c>
      <c r="AD24" s="18" t="str">
        <f>IF(J24="","","s"&amp;COUNTIF($J$16:J24,"○"))</f>
        <v/>
      </c>
      <c r="AE24" s="24" t="str">
        <f>IF(C24="","",200000000+男子申込!$AE$11*100+9)</f>
        <v/>
      </c>
      <c r="AF24" s="7" t="str">
        <f t="shared" si="8"/>
        <v/>
      </c>
      <c r="AG24" s="8" t="str">
        <f t="shared" si="0"/>
        <v/>
      </c>
      <c r="AH24" s="8" t="str">
        <f t="shared" si="9"/>
        <v/>
      </c>
      <c r="AI24" s="8" t="str">
        <f t="shared" si="1"/>
        <v/>
      </c>
      <c r="AJ24" s="8" t="str">
        <f t="shared" si="2"/>
        <v/>
      </c>
      <c r="AK24" s="7" t="str">
        <f t="shared" si="3"/>
        <v/>
      </c>
      <c r="AL24" s="7"/>
      <c r="AM24" s="7" t="str">
        <f t="shared" si="4"/>
        <v/>
      </c>
      <c r="AN24" s="25" t="str">
        <f t="shared" si="5"/>
        <v/>
      </c>
    </row>
    <row r="25" spans="1:40" ht="30" customHeight="1">
      <c r="A25" s="69"/>
      <c r="B25" s="6"/>
      <c r="C25" s="151"/>
      <c r="D25" s="151"/>
      <c r="E25" s="151"/>
      <c r="F25" s="151"/>
      <c r="G25" s="151"/>
      <c r="H25" s="151"/>
      <c r="I25" s="6"/>
      <c r="J25" s="48"/>
      <c r="K25" s="91"/>
      <c r="L25" s="147"/>
      <c r="M25" s="92"/>
      <c r="N25" s="93"/>
      <c r="O25" s="137"/>
      <c r="P25" s="94"/>
      <c r="Q25" s="94"/>
      <c r="R25" s="93"/>
      <c r="S25" s="138"/>
      <c r="T25" s="139"/>
      <c r="U25" s="139"/>
      <c r="V25" s="139"/>
      <c r="W25" s="139"/>
      <c r="X25" s="139"/>
      <c r="Y25" s="139"/>
      <c r="Z25" s="140"/>
      <c r="AA25" s="67" t="str">
        <f t="shared" si="6"/>
        <v/>
      </c>
      <c r="AB25" s="158" t="str">
        <f t="shared" si="10"/>
        <v/>
      </c>
      <c r="AC25" s="18" t="str">
        <f t="shared" si="7"/>
        <v/>
      </c>
      <c r="AD25" s="18" t="str">
        <f>IF(J25="","","s"&amp;COUNTIF($J$16:J25,"○"))</f>
        <v/>
      </c>
      <c r="AE25" s="24" t="str">
        <f>IF(C25="","",200000000+男子申込!$AE$11*100+10)</f>
        <v/>
      </c>
      <c r="AF25" s="7" t="str">
        <f t="shared" si="8"/>
        <v/>
      </c>
      <c r="AG25" s="8" t="str">
        <f t="shared" si="0"/>
        <v/>
      </c>
      <c r="AH25" s="8" t="str">
        <f t="shared" si="9"/>
        <v/>
      </c>
      <c r="AI25" s="8" t="str">
        <f t="shared" si="1"/>
        <v/>
      </c>
      <c r="AJ25" s="8" t="str">
        <f t="shared" si="2"/>
        <v/>
      </c>
      <c r="AK25" s="7" t="str">
        <f t="shared" si="3"/>
        <v/>
      </c>
      <c r="AL25" s="7"/>
      <c r="AM25" s="7" t="str">
        <f t="shared" si="4"/>
        <v/>
      </c>
      <c r="AN25" s="25" t="str">
        <f t="shared" si="5"/>
        <v/>
      </c>
    </row>
    <row r="26" spans="1:40" ht="30" customHeight="1">
      <c r="A26" s="69"/>
      <c r="B26" s="6"/>
      <c r="C26" s="151"/>
      <c r="D26" s="151"/>
      <c r="E26" s="151"/>
      <c r="F26" s="151"/>
      <c r="G26" s="151"/>
      <c r="H26" s="151"/>
      <c r="I26" s="6"/>
      <c r="J26" s="48"/>
      <c r="K26" s="91"/>
      <c r="L26" s="147"/>
      <c r="M26" s="92"/>
      <c r="N26" s="93"/>
      <c r="O26" s="137"/>
      <c r="P26" s="94"/>
      <c r="Q26" s="94"/>
      <c r="R26" s="93"/>
      <c r="S26" s="138"/>
      <c r="T26" s="139"/>
      <c r="U26" s="139"/>
      <c r="V26" s="139"/>
      <c r="W26" s="139"/>
      <c r="X26" s="139"/>
      <c r="Y26" s="139"/>
      <c r="Z26" s="140"/>
      <c r="AA26" s="67" t="str">
        <f t="shared" si="6"/>
        <v/>
      </c>
      <c r="AB26" s="158" t="str">
        <f t="shared" si="10"/>
        <v/>
      </c>
      <c r="AC26" s="18" t="str">
        <f t="shared" si="7"/>
        <v/>
      </c>
      <c r="AD26" s="18" t="str">
        <f>IF(J26="","","s"&amp;COUNTIF($J$16:J26,"○"))</f>
        <v/>
      </c>
      <c r="AE26" s="24" t="str">
        <f>IF(C26="","",200000000+男子申込!$AE$11*100+11)</f>
        <v/>
      </c>
      <c r="AF26" s="7" t="str">
        <f t="shared" si="8"/>
        <v/>
      </c>
      <c r="AG26" s="8" t="str">
        <f t="shared" si="0"/>
        <v/>
      </c>
      <c r="AH26" s="8" t="str">
        <f t="shared" si="9"/>
        <v/>
      </c>
      <c r="AI26" s="8" t="str">
        <f t="shared" si="1"/>
        <v/>
      </c>
      <c r="AJ26" s="8" t="str">
        <f t="shared" si="2"/>
        <v/>
      </c>
      <c r="AK26" s="7" t="str">
        <f t="shared" si="3"/>
        <v/>
      </c>
      <c r="AL26" s="7"/>
      <c r="AM26" s="7" t="str">
        <f t="shared" si="4"/>
        <v/>
      </c>
      <c r="AN26" s="25" t="str">
        <f t="shared" si="5"/>
        <v/>
      </c>
    </row>
    <row r="27" spans="1:40" ht="30" customHeight="1">
      <c r="A27" s="69"/>
      <c r="B27" s="6"/>
      <c r="C27" s="151"/>
      <c r="D27" s="151"/>
      <c r="E27" s="151"/>
      <c r="F27" s="151"/>
      <c r="G27" s="151"/>
      <c r="H27" s="151"/>
      <c r="I27" s="6"/>
      <c r="J27" s="48"/>
      <c r="K27" s="91"/>
      <c r="L27" s="147"/>
      <c r="M27" s="92"/>
      <c r="N27" s="93"/>
      <c r="O27" s="137"/>
      <c r="P27" s="94"/>
      <c r="Q27" s="94"/>
      <c r="R27" s="93"/>
      <c r="S27" s="138"/>
      <c r="T27" s="139"/>
      <c r="U27" s="139"/>
      <c r="V27" s="139"/>
      <c r="W27" s="139"/>
      <c r="X27" s="139"/>
      <c r="Y27" s="139"/>
      <c r="Z27" s="140"/>
      <c r="AA27" s="67" t="str">
        <f t="shared" si="6"/>
        <v/>
      </c>
      <c r="AB27" s="158" t="str">
        <f t="shared" si="10"/>
        <v/>
      </c>
      <c r="AC27" s="18" t="str">
        <f t="shared" si="7"/>
        <v/>
      </c>
      <c r="AD27" s="18" t="str">
        <f>IF(J27="","","s"&amp;COUNTIF($J$16:J27,"○"))</f>
        <v/>
      </c>
      <c r="AE27" s="24" t="str">
        <f>IF(C27="","",200000000+男子申込!$AE$11*100+12)</f>
        <v/>
      </c>
      <c r="AF27" s="7" t="str">
        <f t="shared" si="8"/>
        <v/>
      </c>
      <c r="AG27" s="8" t="str">
        <f t="shared" si="0"/>
        <v/>
      </c>
      <c r="AH27" s="8" t="str">
        <f t="shared" si="9"/>
        <v/>
      </c>
      <c r="AI27" s="8" t="str">
        <f t="shared" si="1"/>
        <v/>
      </c>
      <c r="AJ27" s="8" t="str">
        <f t="shared" si="2"/>
        <v/>
      </c>
      <c r="AK27" s="7" t="str">
        <f t="shared" si="3"/>
        <v/>
      </c>
      <c r="AL27" s="7"/>
      <c r="AM27" s="7" t="str">
        <f t="shared" si="4"/>
        <v/>
      </c>
      <c r="AN27" s="25" t="str">
        <f t="shared" si="5"/>
        <v/>
      </c>
    </row>
    <row r="28" spans="1:40" ht="30" customHeight="1">
      <c r="A28" s="69"/>
      <c r="B28" s="6"/>
      <c r="C28" s="151"/>
      <c r="D28" s="151"/>
      <c r="E28" s="151"/>
      <c r="F28" s="151"/>
      <c r="G28" s="151"/>
      <c r="H28" s="151"/>
      <c r="I28" s="6"/>
      <c r="J28" s="48"/>
      <c r="K28" s="91"/>
      <c r="L28" s="147"/>
      <c r="M28" s="92"/>
      <c r="N28" s="93"/>
      <c r="O28" s="137"/>
      <c r="P28" s="94"/>
      <c r="Q28" s="94"/>
      <c r="R28" s="93"/>
      <c r="S28" s="138"/>
      <c r="T28" s="139"/>
      <c r="U28" s="139"/>
      <c r="V28" s="139"/>
      <c r="W28" s="139"/>
      <c r="X28" s="139"/>
      <c r="Y28" s="139"/>
      <c r="Z28" s="140"/>
      <c r="AA28" s="67" t="str">
        <f t="shared" si="6"/>
        <v/>
      </c>
      <c r="AB28" s="158" t="str">
        <f t="shared" si="10"/>
        <v/>
      </c>
      <c r="AC28" s="18" t="str">
        <f t="shared" si="7"/>
        <v/>
      </c>
      <c r="AD28" s="18" t="str">
        <f>IF(J28="","","s"&amp;COUNTIF($J$16:J28,"○"))</f>
        <v/>
      </c>
      <c r="AE28" s="24" t="str">
        <f>IF(C28="","",200000000+男子申込!$AE$11*100+13)</f>
        <v/>
      </c>
      <c r="AF28" s="7" t="str">
        <f t="shared" si="8"/>
        <v/>
      </c>
      <c r="AG28" s="8" t="str">
        <f t="shared" si="0"/>
        <v/>
      </c>
      <c r="AH28" s="8" t="str">
        <f t="shared" si="9"/>
        <v/>
      </c>
      <c r="AI28" s="8" t="str">
        <f t="shared" si="1"/>
        <v/>
      </c>
      <c r="AJ28" s="8" t="str">
        <f t="shared" si="2"/>
        <v/>
      </c>
      <c r="AK28" s="7" t="str">
        <f t="shared" si="3"/>
        <v/>
      </c>
      <c r="AL28" s="7"/>
      <c r="AM28" s="7" t="str">
        <f t="shared" si="4"/>
        <v/>
      </c>
      <c r="AN28" s="25" t="str">
        <f t="shared" si="5"/>
        <v/>
      </c>
    </row>
    <row r="29" spans="1:40" ht="30" customHeight="1">
      <c r="A29" s="69"/>
      <c r="B29" s="6"/>
      <c r="C29" s="151"/>
      <c r="D29" s="151"/>
      <c r="E29" s="151"/>
      <c r="F29" s="151"/>
      <c r="G29" s="151"/>
      <c r="H29" s="151"/>
      <c r="I29" s="6"/>
      <c r="J29" s="48"/>
      <c r="K29" s="91"/>
      <c r="L29" s="147"/>
      <c r="M29" s="92"/>
      <c r="N29" s="93"/>
      <c r="O29" s="137"/>
      <c r="P29" s="94"/>
      <c r="Q29" s="94"/>
      <c r="R29" s="93"/>
      <c r="S29" s="138"/>
      <c r="T29" s="139"/>
      <c r="U29" s="139"/>
      <c r="V29" s="139"/>
      <c r="W29" s="139"/>
      <c r="X29" s="139"/>
      <c r="Y29" s="139"/>
      <c r="Z29" s="140"/>
      <c r="AA29" s="67" t="str">
        <f t="shared" si="6"/>
        <v/>
      </c>
      <c r="AB29" s="158" t="str">
        <f t="shared" si="10"/>
        <v/>
      </c>
      <c r="AC29" s="18" t="str">
        <f t="shared" si="7"/>
        <v/>
      </c>
      <c r="AD29" s="18" t="str">
        <f>IF(J29="","","s"&amp;COUNTIF($J$16:J29,"○"))</f>
        <v/>
      </c>
      <c r="AE29" s="24" t="str">
        <f>IF(C29="","",200000000+男子申込!$AE$11*100+14)</f>
        <v/>
      </c>
      <c r="AF29" s="7" t="str">
        <f t="shared" si="8"/>
        <v/>
      </c>
      <c r="AG29" s="8" t="str">
        <f t="shared" si="0"/>
        <v/>
      </c>
      <c r="AH29" s="8" t="str">
        <f t="shared" si="9"/>
        <v/>
      </c>
      <c r="AI29" s="8" t="str">
        <f t="shared" si="1"/>
        <v/>
      </c>
      <c r="AJ29" s="8" t="str">
        <f t="shared" si="2"/>
        <v/>
      </c>
      <c r="AK29" s="7" t="str">
        <f t="shared" si="3"/>
        <v/>
      </c>
      <c r="AL29" s="7"/>
      <c r="AM29" s="7" t="str">
        <f t="shared" si="4"/>
        <v/>
      </c>
      <c r="AN29" s="25" t="str">
        <f t="shared" si="5"/>
        <v/>
      </c>
    </row>
    <row r="30" spans="1:40" ht="30" customHeight="1">
      <c r="A30" s="69"/>
      <c r="B30" s="6"/>
      <c r="C30" s="151"/>
      <c r="D30" s="151"/>
      <c r="E30" s="151"/>
      <c r="F30" s="151"/>
      <c r="G30" s="151"/>
      <c r="H30" s="151"/>
      <c r="I30" s="6"/>
      <c r="J30" s="48"/>
      <c r="K30" s="91"/>
      <c r="L30" s="147"/>
      <c r="M30" s="92"/>
      <c r="N30" s="93"/>
      <c r="O30" s="137"/>
      <c r="P30" s="94"/>
      <c r="Q30" s="94"/>
      <c r="R30" s="93"/>
      <c r="S30" s="138"/>
      <c r="T30" s="139"/>
      <c r="U30" s="139"/>
      <c r="V30" s="139"/>
      <c r="W30" s="139"/>
      <c r="X30" s="139"/>
      <c r="Y30" s="139"/>
      <c r="Z30" s="140"/>
      <c r="AA30" s="67" t="str">
        <f t="shared" si="6"/>
        <v/>
      </c>
      <c r="AB30" s="158" t="str">
        <f t="shared" si="10"/>
        <v/>
      </c>
      <c r="AC30" s="18" t="str">
        <f t="shared" si="7"/>
        <v/>
      </c>
      <c r="AD30" s="18" t="str">
        <f>IF(J30="","","s"&amp;COUNTIF($J$16:J30,"○"))</f>
        <v/>
      </c>
      <c r="AE30" s="24" t="str">
        <f>IF(C30="","",200000000+男子申込!$AE$11*100+15)</f>
        <v/>
      </c>
      <c r="AF30" s="7" t="str">
        <f t="shared" si="8"/>
        <v/>
      </c>
      <c r="AG30" s="8" t="str">
        <f t="shared" si="0"/>
        <v/>
      </c>
      <c r="AH30" s="8" t="str">
        <f t="shared" si="9"/>
        <v/>
      </c>
      <c r="AI30" s="8" t="str">
        <f t="shared" si="1"/>
        <v/>
      </c>
      <c r="AJ30" s="8" t="str">
        <f t="shared" si="2"/>
        <v/>
      </c>
      <c r="AK30" s="7" t="str">
        <f t="shared" si="3"/>
        <v/>
      </c>
      <c r="AL30" s="7"/>
      <c r="AM30" s="7" t="str">
        <f t="shared" si="4"/>
        <v/>
      </c>
      <c r="AN30" s="25" t="str">
        <f t="shared" si="5"/>
        <v/>
      </c>
    </row>
    <row r="31" spans="1:40" ht="30" customHeight="1">
      <c r="AC31" s="18" t="str">
        <f t="shared" si="7"/>
        <v/>
      </c>
      <c r="AD31" s="18" t="str">
        <f>IF(J31="","","s"&amp;COUNTIF($J$16:J31,"○"))</f>
        <v/>
      </c>
      <c r="AE31" s="24" t="str">
        <f>IF(C31="","",200000000+男子申込!$AE$11*100+16)</f>
        <v/>
      </c>
      <c r="AF31" s="7" t="str">
        <f t="shared" si="8"/>
        <v/>
      </c>
      <c r="AG31" s="8" t="str">
        <f t="shared" si="0"/>
        <v/>
      </c>
      <c r="AH31" s="8" t="str">
        <f t="shared" si="9"/>
        <v/>
      </c>
      <c r="AI31" s="8" t="str">
        <f t="shared" si="1"/>
        <v/>
      </c>
      <c r="AJ31" s="8" t="str">
        <f t="shared" si="2"/>
        <v/>
      </c>
      <c r="AK31" s="7" t="str">
        <f t="shared" si="3"/>
        <v/>
      </c>
      <c r="AL31" s="7"/>
      <c r="AM31" s="7" t="str">
        <f t="shared" si="4"/>
        <v/>
      </c>
      <c r="AN31" s="25" t="str">
        <f>IF(S31="","",VLOOKUP(S31,$C$39:$E$40,2,FALSE)&amp;" "&amp;RIGHT(FIXED(VALUE(T31&amp;U31&amp;IF(LENB(V31)=1,V31&amp;"0",V31))/VLOOKUP(S31,$C$39:$E$40,3,FALSE),VLOOKUP(S31,$C$39:$F$40,4,FALSE)),VLOOKUP(S31,$C$39:$F$40,4,FALSE)))</f>
        <v/>
      </c>
    </row>
    <row r="32" spans="1:40" ht="30" hidden="1" customHeight="1">
      <c r="AC32" s="18" t="str">
        <f t="shared" si="7"/>
        <v/>
      </c>
      <c r="AD32" s="18" t="str">
        <f>IF(J32="","","s"&amp;COUNTIF($J$16:J32,"○"))</f>
        <v/>
      </c>
      <c r="AE32" s="24" t="str">
        <f>IF(C32="","",200000000+男子申込!$AE$11*100+17)</f>
        <v/>
      </c>
      <c r="AF32" s="7" t="str">
        <f t="shared" si="8"/>
        <v/>
      </c>
      <c r="AG32" s="8" t="str">
        <f t="shared" si="0"/>
        <v/>
      </c>
      <c r="AH32" s="8" t="str">
        <f t="shared" si="9"/>
        <v/>
      </c>
      <c r="AI32" s="8" t="str">
        <f t="shared" si="1"/>
        <v/>
      </c>
      <c r="AJ32" s="8" t="str">
        <f t="shared" si="2"/>
        <v/>
      </c>
      <c r="AK32" s="7" t="str">
        <f t="shared" si="3"/>
        <v/>
      </c>
      <c r="AL32" s="7"/>
      <c r="AM32" s="7" t="str">
        <f t="shared" si="4"/>
        <v/>
      </c>
      <c r="AN32" s="25" t="str">
        <f>IF(S32="","",VLOOKUP(S32,$C$39:$E$40,2,FALSE)&amp;" "&amp;RIGHT(FIXED(VALUE(T32&amp;U32&amp;IF(LENB(V32)=1,V32&amp;"0",V32))/VLOOKUP(S32,$C$39:$E$40,3,FALSE),VLOOKUP(S32,$C$39:$F$40,4,FALSE)),VLOOKUP(S32,$C$39:$F$40,4,FALSE)))</f>
        <v/>
      </c>
    </row>
    <row r="33" spans="1:40" ht="30" hidden="1" customHeight="1">
      <c r="AC33" s="18" t="str">
        <f t="shared" si="7"/>
        <v/>
      </c>
      <c r="AD33" s="18" t="str">
        <f>IF(J33="","","s"&amp;COUNTIF($J$16:J33,"○"))</f>
        <v/>
      </c>
      <c r="AE33" s="24" t="str">
        <f>IF(C33="","",200000000+男子申込!$AE$11*100+18)</f>
        <v/>
      </c>
      <c r="AF33" s="7" t="str">
        <f t="shared" si="8"/>
        <v/>
      </c>
      <c r="AG33" s="8" t="str">
        <f t="shared" si="0"/>
        <v/>
      </c>
      <c r="AH33" s="8" t="str">
        <f t="shared" si="9"/>
        <v/>
      </c>
      <c r="AI33" s="8" t="str">
        <f t="shared" si="1"/>
        <v/>
      </c>
      <c r="AJ33" s="8" t="str">
        <f t="shared" si="2"/>
        <v/>
      </c>
      <c r="AK33" s="7" t="str">
        <f t="shared" si="3"/>
        <v/>
      </c>
      <c r="AL33" s="7"/>
      <c r="AM33" s="7" t="str">
        <f t="shared" si="4"/>
        <v/>
      </c>
      <c r="AN33" s="25" t="str">
        <f>IF(S33="","",VLOOKUP(S33,$C$39:$E$40,2,FALSE)&amp;" "&amp;RIGHT(FIXED(VALUE(T33&amp;U33&amp;IF(LENB(V33)=1,V33&amp;"0",V33))/VLOOKUP(S33,$C$39:$E$40,3,FALSE),VLOOKUP(S33,$C$39:$F$40,4,FALSE)),VLOOKUP(S33,$C$39:$F$40,4,FALSE)))</f>
        <v/>
      </c>
    </row>
    <row r="34" spans="1:40" ht="30" hidden="1" customHeight="1">
      <c r="AC34" s="18" t="str">
        <f t="shared" si="7"/>
        <v/>
      </c>
      <c r="AD34" s="18" t="str">
        <f>IF(J34="","","s"&amp;COUNTIF($J$16:J34,"○"))</f>
        <v/>
      </c>
      <c r="AE34" s="24" t="str">
        <f>IF(C34="","",200000000+男子申込!$AE$11*100+19)</f>
        <v/>
      </c>
      <c r="AF34" s="7" t="str">
        <f t="shared" si="8"/>
        <v/>
      </c>
      <c r="AG34" s="8" t="str">
        <f t="shared" si="0"/>
        <v/>
      </c>
      <c r="AH34" s="8" t="str">
        <f t="shared" si="9"/>
        <v/>
      </c>
      <c r="AI34" s="8" t="str">
        <f t="shared" si="1"/>
        <v/>
      </c>
      <c r="AJ34" s="8" t="str">
        <f t="shared" si="2"/>
        <v/>
      </c>
      <c r="AK34" s="7" t="str">
        <f t="shared" si="3"/>
        <v/>
      </c>
      <c r="AL34" s="7"/>
      <c r="AM34" s="7" t="str">
        <f t="shared" si="4"/>
        <v/>
      </c>
      <c r="AN34" s="25" t="str">
        <f>IF(S34="","",VLOOKUP(S34,$C$39:$E$40,2,FALSE)&amp;" "&amp;RIGHT(FIXED(VALUE(T34&amp;U34&amp;IF(LENB(V34)=1,V34&amp;"0",V34))/VLOOKUP(S34,$C$39:$E$40,3,FALSE),VLOOKUP(S34,$C$39:$F$40,4,FALSE)),VLOOKUP(S34,$C$39:$F$40,4,FALSE)))</f>
        <v/>
      </c>
    </row>
    <row r="35" spans="1:40" ht="30" hidden="1" customHeight="1" thickBot="1">
      <c r="AC35" s="18" t="str">
        <f t="shared" si="7"/>
        <v/>
      </c>
      <c r="AD35" s="18" t="str">
        <f>IF(J35="","","s"&amp;COUNTIF($J$16:J35,"○"))</f>
        <v/>
      </c>
      <c r="AE35" s="24" t="str">
        <f>IF(C35="","",200000000+男子申込!$AE$11*100+20)</f>
        <v/>
      </c>
      <c r="AF35" s="27" t="str">
        <f t="shared" si="8"/>
        <v/>
      </c>
      <c r="AG35" s="28" t="str">
        <f t="shared" si="0"/>
        <v/>
      </c>
      <c r="AH35" s="28" t="str">
        <f t="shared" si="9"/>
        <v/>
      </c>
      <c r="AI35" s="8" t="str">
        <f t="shared" si="1"/>
        <v/>
      </c>
      <c r="AJ35" s="28" t="str">
        <f t="shared" si="2"/>
        <v/>
      </c>
      <c r="AK35" s="7" t="str">
        <f t="shared" si="3"/>
        <v/>
      </c>
      <c r="AL35" s="27"/>
      <c r="AM35" s="55" t="str">
        <f t="shared" si="4"/>
        <v/>
      </c>
      <c r="AN35" s="56" t="str">
        <f>IF(S35="","",VLOOKUP(S35,$C$39:$E$40,2,FALSE)&amp;" "&amp;RIGHT(FIXED(VALUE(T35&amp;U35&amp;IF(LENB(V35)=1,V35&amp;"0",V35))/VLOOKUP(S35,$C$39:$E$40,3,FALSE),VLOOKUP(S35,$C$39:$F$40,4,FALSE)),VLOOKUP(S35,$C$39:$F$40,4,FALSE)))</f>
        <v/>
      </c>
    </row>
    <row r="36" spans="1:40" ht="24.75" hidden="1" customHeight="1">
      <c r="AE36" s="29" t="s">
        <v>30</v>
      </c>
      <c r="AF36" s="30" t="s">
        <v>31</v>
      </c>
      <c r="AG36" s="30" t="s">
        <v>32</v>
      </c>
      <c r="AH36" s="30" t="s">
        <v>33</v>
      </c>
      <c r="AI36" s="30" t="s">
        <v>34</v>
      </c>
      <c r="AJ36" s="30" t="s">
        <v>35</v>
      </c>
      <c r="AK36" s="30" t="s">
        <v>36</v>
      </c>
      <c r="AL36" s="30" t="s">
        <v>37</v>
      </c>
      <c r="AM36" s="30" t="s">
        <v>38</v>
      </c>
      <c r="AN36" s="31" t="s">
        <v>39</v>
      </c>
    </row>
    <row r="37" spans="1:40" ht="24.75" hidden="1" customHeight="1" thickBot="1">
      <c r="AD37" s="4" t="s">
        <v>40</v>
      </c>
      <c r="AE37" s="26" t="str">
        <f>IF(COUNTIF(J16:J35,"○")&gt;=4,$E$7,"")</f>
        <v/>
      </c>
      <c r="AF37" s="32" t="str">
        <f>IF(AE37="","",E7)</f>
        <v/>
      </c>
      <c r="AG37" s="32" t="str">
        <f>IF(AE37="","",J7)</f>
        <v/>
      </c>
      <c r="AH37" s="32" t="str">
        <f>IF(AE37="","",I14)</f>
        <v/>
      </c>
      <c r="AI37" s="32" t="str">
        <f t="shared" ref="AI37:AN37" si="11">IF(ISERROR(VLOOKUP(AI36,$AD$16:$AE$35,2,FALSE))=TRUE,"",VLOOKUP(AI36,$AD$16:$AE$35,2,FALSE))</f>
        <v/>
      </c>
      <c r="AJ37" s="32" t="str">
        <f t="shared" si="11"/>
        <v/>
      </c>
      <c r="AK37" s="32" t="str">
        <f t="shared" si="11"/>
        <v/>
      </c>
      <c r="AL37" s="32" t="str">
        <f t="shared" si="11"/>
        <v/>
      </c>
      <c r="AM37" s="32" t="str">
        <f t="shared" si="11"/>
        <v/>
      </c>
      <c r="AN37" s="33" t="str">
        <f t="shared" si="11"/>
        <v/>
      </c>
    </row>
    <row r="38" spans="1:40" hidden="1">
      <c r="A38" s="14" t="s">
        <v>54</v>
      </c>
      <c r="C38" s="14" t="s">
        <v>16</v>
      </c>
      <c r="D38" s="14" t="s">
        <v>18</v>
      </c>
      <c r="E38" s="54" t="s">
        <v>69</v>
      </c>
      <c r="F38" s="54" t="s">
        <v>69</v>
      </c>
      <c r="J38" s="167" t="s">
        <v>91</v>
      </c>
      <c r="K38" s="168"/>
      <c r="L38" s="34" t="s">
        <v>76</v>
      </c>
    </row>
    <row r="39" spans="1:40" hidden="1">
      <c r="A39" s="16" t="s">
        <v>55</v>
      </c>
      <c r="C39" s="43" t="s">
        <v>138</v>
      </c>
      <c r="D39" s="52" t="s">
        <v>139</v>
      </c>
      <c r="E39" s="43">
        <v>100000</v>
      </c>
      <c r="F39" s="43">
        <v>5</v>
      </c>
      <c r="J39" s="17">
        <v>28</v>
      </c>
      <c r="K39" s="9" t="s">
        <v>93</v>
      </c>
      <c r="L39" s="53">
        <v>28</v>
      </c>
      <c r="N39" s="4">
        <v>25</v>
      </c>
    </row>
    <row r="40" spans="1:40" hidden="1">
      <c r="A40" s="13"/>
      <c r="C40" s="43" t="s">
        <v>112</v>
      </c>
      <c r="D40" s="52" t="s">
        <v>113</v>
      </c>
      <c r="E40" s="43">
        <v>100000</v>
      </c>
      <c r="F40" s="43">
        <v>5</v>
      </c>
      <c r="J40" s="17">
        <v>25</v>
      </c>
      <c r="K40" s="9" t="s">
        <v>92</v>
      </c>
      <c r="L40" s="53">
        <v>25</v>
      </c>
      <c r="N40" s="4">
        <v>26</v>
      </c>
    </row>
    <row r="41" spans="1:40" hidden="1">
      <c r="A41" s="14" t="s">
        <v>56</v>
      </c>
      <c r="J41" s="17">
        <v>26</v>
      </c>
      <c r="K41" s="9" t="s">
        <v>96</v>
      </c>
      <c r="L41" s="53">
        <v>26</v>
      </c>
      <c r="N41" s="4">
        <v>27</v>
      </c>
    </row>
    <row r="42" spans="1:40" hidden="1">
      <c r="A42" s="45">
        <v>25</v>
      </c>
      <c r="J42" s="17">
        <v>27</v>
      </c>
      <c r="K42" s="9" t="s">
        <v>97</v>
      </c>
      <c r="L42" s="53">
        <v>27</v>
      </c>
      <c r="N42" s="4">
        <v>28</v>
      </c>
    </row>
    <row r="43" spans="1:40" hidden="1">
      <c r="A43" s="46">
        <v>26</v>
      </c>
      <c r="J43" s="17">
        <v>29</v>
      </c>
      <c r="K43" s="9" t="s">
        <v>94</v>
      </c>
      <c r="L43" s="53">
        <v>29</v>
      </c>
      <c r="N43" s="4">
        <v>29</v>
      </c>
    </row>
    <row r="44" spans="1:40" hidden="1">
      <c r="A44" s="13"/>
      <c r="C44" s="121" t="s">
        <v>101</v>
      </c>
      <c r="E44" s="124" t="s">
        <v>102</v>
      </c>
      <c r="J44" s="17">
        <v>30</v>
      </c>
      <c r="K44" s="9" t="s">
        <v>95</v>
      </c>
      <c r="L44" s="53">
        <v>30</v>
      </c>
      <c r="N44" s="4">
        <v>30</v>
      </c>
    </row>
    <row r="45" spans="1:40" hidden="1">
      <c r="A45" s="47" t="s">
        <v>48</v>
      </c>
      <c r="C45" s="123">
        <v>0</v>
      </c>
      <c r="E45" s="124">
        <v>1</v>
      </c>
      <c r="J45" s="38"/>
      <c r="L45" s="85"/>
      <c r="M45" s="85"/>
    </row>
    <row r="46" spans="1:40" hidden="1">
      <c r="A46" s="15">
        <v>4</v>
      </c>
      <c r="C46" s="122">
        <v>1</v>
      </c>
      <c r="E46" s="124">
        <v>2</v>
      </c>
      <c r="J46" s="38"/>
      <c r="L46" s="85"/>
      <c r="M46" s="85"/>
    </row>
    <row r="47" spans="1:40" hidden="1">
      <c r="A47" s="15">
        <v>5</v>
      </c>
      <c r="E47" s="124">
        <v>3</v>
      </c>
      <c r="J47" s="38"/>
      <c r="L47" s="85"/>
      <c r="M47" s="85"/>
    </row>
    <row r="48" spans="1:40" hidden="1">
      <c r="A48" s="15">
        <v>6</v>
      </c>
      <c r="E48" s="124">
        <v>4</v>
      </c>
      <c r="J48" s="38"/>
      <c r="L48" s="85"/>
      <c r="M48" s="85"/>
    </row>
    <row r="49" spans="1:13" hidden="1">
      <c r="A49" s="15">
        <v>7</v>
      </c>
      <c r="E49" s="124">
        <v>5</v>
      </c>
      <c r="J49" s="38"/>
      <c r="L49" s="85"/>
      <c r="M49" s="85"/>
    </row>
    <row r="50" spans="1:13" hidden="1">
      <c r="A50" s="15">
        <v>8</v>
      </c>
      <c r="E50" s="124">
        <v>6</v>
      </c>
      <c r="J50" s="38"/>
      <c r="L50" s="85"/>
      <c r="M50" s="85"/>
    </row>
    <row r="51" spans="1:13" hidden="1">
      <c r="A51" s="15">
        <v>9</v>
      </c>
      <c r="E51" s="124" t="s">
        <v>103</v>
      </c>
      <c r="J51" s="38"/>
      <c r="L51" s="85"/>
      <c r="M51" s="85"/>
    </row>
    <row r="52" spans="1:13" hidden="1">
      <c r="A52" s="15">
        <v>10</v>
      </c>
      <c r="E52" s="124" t="s">
        <v>104</v>
      </c>
      <c r="J52" s="38"/>
      <c r="L52" s="85"/>
      <c r="M52" s="85"/>
    </row>
    <row r="53" spans="1:13" hidden="1">
      <c r="A53" s="15">
        <v>11</v>
      </c>
      <c r="E53" s="124" t="s">
        <v>142</v>
      </c>
      <c r="J53" s="38"/>
      <c r="L53" s="85"/>
      <c r="M53" s="85"/>
    </row>
    <row r="54" spans="1:13" hidden="1">
      <c r="A54" s="15">
        <v>12</v>
      </c>
      <c r="E54" s="124" t="s">
        <v>143</v>
      </c>
      <c r="J54" s="38"/>
      <c r="L54" s="85"/>
      <c r="M54" s="85"/>
    </row>
    <row r="55" spans="1:13" hidden="1">
      <c r="A55" s="15">
        <v>1</v>
      </c>
      <c r="E55" s="124" t="s">
        <v>144</v>
      </c>
      <c r="J55" s="38"/>
      <c r="L55" s="85"/>
      <c r="M55" s="85"/>
    </row>
    <row r="56" spans="1:13" hidden="1">
      <c r="A56" s="15">
        <v>2</v>
      </c>
      <c r="E56" s="124" t="s">
        <v>145</v>
      </c>
      <c r="J56" s="38"/>
      <c r="L56" s="85"/>
      <c r="M56" s="85"/>
    </row>
    <row r="57" spans="1:13" hidden="1">
      <c r="A57" s="16">
        <v>3</v>
      </c>
      <c r="J57" s="38"/>
      <c r="L57" s="85"/>
      <c r="M57" s="85"/>
    </row>
    <row r="58" spans="1:13" hidden="1">
      <c r="A58" s="13"/>
      <c r="J58" s="38"/>
      <c r="L58" s="85"/>
      <c r="M58" s="85"/>
    </row>
    <row r="59" spans="1:13" hidden="1">
      <c r="A59" s="47" t="s">
        <v>49</v>
      </c>
      <c r="J59" s="38"/>
      <c r="L59" s="85"/>
      <c r="M59" s="85"/>
    </row>
    <row r="60" spans="1:13" hidden="1">
      <c r="A60" s="15">
        <v>1</v>
      </c>
      <c r="J60" s="38"/>
      <c r="L60" s="85"/>
      <c r="M60" s="85"/>
    </row>
    <row r="61" spans="1:13" hidden="1">
      <c r="A61" s="15">
        <v>2</v>
      </c>
      <c r="J61" s="38"/>
      <c r="L61" s="85"/>
      <c r="M61" s="85"/>
    </row>
    <row r="62" spans="1:13" hidden="1">
      <c r="A62" s="15">
        <v>3</v>
      </c>
      <c r="J62" s="38"/>
      <c r="L62" s="85"/>
      <c r="M62" s="85"/>
    </row>
    <row r="63" spans="1:13" hidden="1">
      <c r="A63" s="15">
        <v>4</v>
      </c>
      <c r="J63" s="38"/>
      <c r="L63" s="85"/>
      <c r="M63" s="85"/>
    </row>
    <row r="64" spans="1:13" hidden="1">
      <c r="A64" s="15">
        <v>5</v>
      </c>
      <c r="J64" s="38"/>
      <c r="L64" s="85"/>
      <c r="M64" s="85"/>
    </row>
    <row r="65" spans="1:13" hidden="1">
      <c r="A65" s="15">
        <v>6</v>
      </c>
      <c r="J65" s="38"/>
      <c r="L65" s="85"/>
      <c r="M65" s="85"/>
    </row>
    <row r="66" spans="1:13" hidden="1">
      <c r="A66" s="15">
        <v>7</v>
      </c>
      <c r="J66" s="38"/>
      <c r="L66" s="85"/>
      <c r="M66" s="85"/>
    </row>
    <row r="67" spans="1:13" hidden="1">
      <c r="A67" s="15">
        <v>8</v>
      </c>
      <c r="J67" s="38"/>
      <c r="L67" s="85"/>
      <c r="M67" s="85"/>
    </row>
    <row r="68" spans="1:13" hidden="1">
      <c r="A68" s="15">
        <v>9</v>
      </c>
      <c r="J68" s="38"/>
      <c r="L68" s="85"/>
      <c r="M68" s="85"/>
    </row>
    <row r="69" spans="1:13" hidden="1">
      <c r="A69" s="15">
        <v>10</v>
      </c>
      <c r="J69" s="38"/>
      <c r="L69" s="85"/>
      <c r="M69" s="85"/>
    </row>
    <row r="70" spans="1:13" hidden="1">
      <c r="A70" s="15">
        <v>11</v>
      </c>
      <c r="J70" s="38"/>
      <c r="L70" s="85"/>
      <c r="M70" s="85"/>
    </row>
    <row r="71" spans="1:13" hidden="1">
      <c r="A71" s="15">
        <v>12</v>
      </c>
      <c r="J71" s="38"/>
      <c r="L71" s="85"/>
      <c r="M71" s="85"/>
    </row>
    <row r="72" spans="1:13" hidden="1">
      <c r="A72" s="15">
        <v>13</v>
      </c>
      <c r="J72" s="38"/>
      <c r="L72" s="85"/>
      <c r="M72" s="85"/>
    </row>
    <row r="73" spans="1:13" hidden="1">
      <c r="A73" s="15">
        <v>14</v>
      </c>
      <c r="J73" s="38"/>
      <c r="L73" s="85"/>
      <c r="M73" s="85"/>
    </row>
    <row r="74" spans="1:13" hidden="1">
      <c r="A74" s="15">
        <v>15</v>
      </c>
      <c r="J74" s="38"/>
      <c r="L74" s="85"/>
      <c r="M74" s="85"/>
    </row>
    <row r="75" spans="1:13" hidden="1">
      <c r="A75" s="15">
        <v>16</v>
      </c>
      <c r="J75" s="38"/>
      <c r="L75" s="85"/>
      <c r="M75" s="85"/>
    </row>
    <row r="76" spans="1:13" hidden="1">
      <c r="A76" s="15">
        <v>17</v>
      </c>
      <c r="J76" s="38"/>
      <c r="L76" s="85"/>
      <c r="M76" s="85"/>
    </row>
    <row r="77" spans="1:13" hidden="1">
      <c r="A77" s="15">
        <v>18</v>
      </c>
      <c r="J77" s="38"/>
      <c r="L77" s="85"/>
      <c r="M77" s="85"/>
    </row>
    <row r="78" spans="1:13" hidden="1">
      <c r="A78" s="15">
        <v>19</v>
      </c>
      <c r="J78" s="38"/>
      <c r="L78" s="85"/>
      <c r="M78" s="85"/>
    </row>
    <row r="79" spans="1:13" hidden="1">
      <c r="A79" s="15">
        <v>20</v>
      </c>
      <c r="J79" s="38"/>
      <c r="L79" s="85"/>
      <c r="M79" s="85"/>
    </row>
    <row r="80" spans="1:13" hidden="1">
      <c r="A80" s="15">
        <v>21</v>
      </c>
      <c r="J80" s="38"/>
      <c r="L80" s="85"/>
      <c r="M80" s="85"/>
    </row>
    <row r="81" spans="1:13" hidden="1">
      <c r="A81" s="15">
        <v>22</v>
      </c>
      <c r="J81" s="38"/>
      <c r="L81" s="85"/>
      <c r="M81" s="85"/>
    </row>
    <row r="82" spans="1:13" hidden="1">
      <c r="A82" s="15">
        <v>23</v>
      </c>
      <c r="J82" s="38"/>
      <c r="L82" s="85"/>
      <c r="M82" s="85"/>
    </row>
    <row r="83" spans="1:13" hidden="1">
      <c r="A83" s="15">
        <v>24</v>
      </c>
      <c r="J83" s="38"/>
      <c r="L83" s="85"/>
      <c r="M83" s="85"/>
    </row>
    <row r="84" spans="1:13" hidden="1">
      <c r="A84" s="15">
        <v>25</v>
      </c>
      <c r="J84" s="38"/>
      <c r="L84" s="85"/>
      <c r="M84" s="85"/>
    </row>
    <row r="85" spans="1:13" hidden="1">
      <c r="A85" s="15">
        <v>26</v>
      </c>
      <c r="J85" s="38"/>
      <c r="L85" s="85"/>
      <c r="M85" s="85"/>
    </row>
    <row r="86" spans="1:13" hidden="1">
      <c r="A86" s="15">
        <v>27</v>
      </c>
      <c r="J86" s="38"/>
      <c r="L86" s="85"/>
      <c r="M86" s="85"/>
    </row>
    <row r="87" spans="1:13" hidden="1">
      <c r="A87" s="15">
        <v>28</v>
      </c>
      <c r="J87" s="38"/>
      <c r="L87" s="85"/>
      <c r="M87" s="85"/>
    </row>
    <row r="88" spans="1:13" hidden="1">
      <c r="A88" s="15">
        <v>29</v>
      </c>
      <c r="J88" s="38"/>
      <c r="L88" s="85"/>
      <c r="M88" s="85"/>
    </row>
    <row r="89" spans="1:13" hidden="1">
      <c r="A89" s="15">
        <v>30</v>
      </c>
      <c r="J89" s="38"/>
      <c r="L89" s="85"/>
      <c r="M89" s="85"/>
    </row>
    <row r="90" spans="1:13" hidden="1">
      <c r="A90" s="16">
        <v>31</v>
      </c>
      <c r="J90" s="38"/>
      <c r="L90" s="85"/>
      <c r="M90" s="85"/>
    </row>
    <row r="91" spans="1:13">
      <c r="J91" s="38"/>
      <c r="L91" s="85"/>
      <c r="M91" s="85"/>
    </row>
    <row r="92" spans="1:13">
      <c r="J92" s="38"/>
      <c r="L92" s="85"/>
      <c r="M92" s="85"/>
    </row>
    <row r="93" spans="1:13">
      <c r="J93" s="38"/>
      <c r="L93" s="85"/>
      <c r="M93" s="85"/>
    </row>
    <row r="94" spans="1:13">
      <c r="J94" s="38"/>
      <c r="L94" s="85"/>
      <c r="M94" s="85"/>
    </row>
    <row r="95" spans="1:13">
      <c r="J95" s="38"/>
      <c r="L95" s="85"/>
      <c r="M95" s="85"/>
    </row>
    <row r="96" spans="1:13">
      <c r="J96" s="38"/>
      <c r="L96" s="85"/>
      <c r="M96" s="85"/>
    </row>
    <row r="97" spans="10:13">
      <c r="J97" s="38"/>
      <c r="L97" s="85"/>
      <c r="M97" s="85"/>
    </row>
    <row r="98" spans="10:13">
      <c r="J98" s="38"/>
      <c r="L98" s="85"/>
      <c r="M98" s="85"/>
    </row>
    <row r="99" spans="10:13">
      <c r="J99" s="38"/>
      <c r="L99" s="85"/>
      <c r="M99" s="85"/>
    </row>
    <row r="100" spans="10:13">
      <c r="J100" s="38"/>
      <c r="L100" s="85"/>
      <c r="M100" s="85"/>
    </row>
    <row r="101" spans="10:13">
      <c r="J101" s="38"/>
      <c r="L101" s="85"/>
      <c r="M101" s="85"/>
    </row>
    <row r="102" spans="10:13">
      <c r="J102" s="38"/>
      <c r="L102" s="85"/>
      <c r="M102" s="85"/>
    </row>
    <row r="103" spans="10:13">
      <c r="J103" s="38"/>
      <c r="L103" s="85"/>
      <c r="M103" s="85"/>
    </row>
    <row r="104" spans="10:13">
      <c r="J104" s="38"/>
      <c r="L104" s="85"/>
      <c r="M104" s="85"/>
    </row>
    <row r="105" spans="10:13">
      <c r="J105" s="38"/>
      <c r="L105" s="85"/>
      <c r="M105" s="85"/>
    </row>
    <row r="106" spans="10:13">
      <c r="J106" s="38"/>
      <c r="L106" s="85"/>
      <c r="M106" s="85"/>
    </row>
    <row r="107" spans="10:13">
      <c r="J107" s="38"/>
      <c r="L107" s="85"/>
      <c r="M107" s="85"/>
    </row>
    <row r="108" spans="10:13">
      <c r="J108" s="38"/>
      <c r="L108" s="85"/>
      <c r="M108" s="85"/>
    </row>
    <row r="109" spans="10:13">
      <c r="J109" s="38"/>
      <c r="L109" s="85"/>
      <c r="M109" s="85"/>
    </row>
    <row r="110" spans="10:13">
      <c r="J110" s="38"/>
      <c r="L110" s="85"/>
      <c r="M110" s="85"/>
    </row>
    <row r="111" spans="10:13">
      <c r="J111" s="38"/>
      <c r="L111" s="85"/>
      <c r="M111" s="85"/>
    </row>
    <row r="112" spans="10:13">
      <c r="J112" s="38"/>
      <c r="L112" s="85"/>
      <c r="M112" s="85"/>
    </row>
    <row r="113" spans="10:13">
      <c r="J113" s="38"/>
      <c r="L113" s="85"/>
      <c r="M113" s="85"/>
    </row>
    <row r="114" spans="10:13">
      <c r="J114" s="38"/>
      <c r="L114" s="85"/>
      <c r="M114" s="85"/>
    </row>
    <row r="115" spans="10:13">
      <c r="J115" s="38"/>
      <c r="L115" s="85"/>
      <c r="M115" s="85"/>
    </row>
    <row r="116" spans="10:13">
      <c r="J116" s="38"/>
      <c r="L116" s="85"/>
      <c r="M116" s="85"/>
    </row>
    <row r="117" spans="10:13">
      <c r="J117" s="38"/>
      <c r="L117" s="85"/>
      <c r="M117" s="85"/>
    </row>
    <row r="118" spans="10:13">
      <c r="J118" s="38"/>
      <c r="L118" s="85"/>
      <c r="M118" s="85"/>
    </row>
    <row r="119" spans="10:13">
      <c r="J119" s="38"/>
      <c r="L119" s="85"/>
      <c r="M119" s="85"/>
    </row>
    <row r="120" spans="10:13">
      <c r="J120" s="38"/>
      <c r="L120" s="85"/>
      <c r="M120" s="85"/>
    </row>
    <row r="121" spans="10:13">
      <c r="J121" s="38"/>
      <c r="L121" s="85"/>
      <c r="M121" s="85"/>
    </row>
    <row r="122" spans="10:13">
      <c r="J122" s="38"/>
      <c r="L122" s="85"/>
      <c r="M122" s="85"/>
    </row>
    <row r="123" spans="10:13">
      <c r="J123" s="38"/>
      <c r="L123" s="85"/>
      <c r="M123" s="85"/>
    </row>
    <row r="124" spans="10:13">
      <c r="J124" s="38"/>
      <c r="L124" s="85"/>
      <c r="M124" s="85"/>
    </row>
    <row r="125" spans="10:13">
      <c r="J125" s="38"/>
      <c r="L125" s="85"/>
      <c r="M125" s="85"/>
    </row>
    <row r="126" spans="10:13">
      <c r="J126" s="38"/>
      <c r="L126" s="85"/>
      <c r="M126" s="85"/>
    </row>
    <row r="127" spans="10:13">
      <c r="J127" s="38"/>
      <c r="L127" s="85"/>
      <c r="M127" s="85"/>
    </row>
    <row r="128" spans="10:13">
      <c r="J128" s="38"/>
      <c r="L128" s="85"/>
      <c r="M128" s="85"/>
    </row>
    <row r="129" spans="10:13">
      <c r="J129" s="38"/>
      <c r="L129" s="85"/>
      <c r="M129" s="85"/>
    </row>
    <row r="130" spans="10:13">
      <c r="J130" s="38"/>
      <c r="L130" s="85"/>
      <c r="M130" s="85"/>
    </row>
    <row r="131" spans="10:13">
      <c r="J131" s="38"/>
      <c r="L131" s="85"/>
      <c r="M131" s="85"/>
    </row>
    <row r="132" spans="10:13">
      <c r="J132" s="38"/>
      <c r="L132" s="85"/>
      <c r="M132" s="85"/>
    </row>
    <row r="133" spans="10:13">
      <c r="J133" s="38"/>
      <c r="L133" s="85"/>
      <c r="M133" s="85"/>
    </row>
    <row r="134" spans="10:13">
      <c r="J134" s="38"/>
      <c r="L134" s="85"/>
      <c r="M134" s="85"/>
    </row>
    <row r="135" spans="10:13">
      <c r="J135" s="38"/>
      <c r="L135" s="85"/>
      <c r="M135" s="85"/>
    </row>
    <row r="136" spans="10:13">
      <c r="J136" s="38"/>
      <c r="L136" s="85"/>
      <c r="M136" s="85"/>
    </row>
    <row r="137" spans="10:13">
      <c r="J137" s="38"/>
      <c r="L137" s="85"/>
      <c r="M137" s="85"/>
    </row>
    <row r="138" spans="10:13">
      <c r="J138" s="38"/>
      <c r="L138" s="85"/>
      <c r="M138" s="85"/>
    </row>
    <row r="139" spans="10:13">
      <c r="J139" s="38"/>
      <c r="L139" s="85"/>
      <c r="M139" s="85"/>
    </row>
    <row r="140" spans="10:13">
      <c r="J140" s="38"/>
      <c r="L140" s="85"/>
      <c r="M140" s="85"/>
    </row>
    <row r="141" spans="10:13">
      <c r="J141" s="38"/>
      <c r="L141" s="85"/>
      <c r="M141" s="85"/>
    </row>
    <row r="142" spans="10:13">
      <c r="J142" s="38"/>
      <c r="L142" s="85"/>
      <c r="M142" s="85"/>
    </row>
    <row r="143" spans="10:13">
      <c r="J143" s="38"/>
      <c r="L143" s="85"/>
      <c r="M143" s="85"/>
    </row>
    <row r="144" spans="10:13">
      <c r="J144" s="38"/>
      <c r="L144" s="85"/>
      <c r="M144" s="85"/>
    </row>
    <row r="145" spans="10:13">
      <c r="J145" s="38"/>
      <c r="L145" s="85"/>
      <c r="M145" s="85"/>
    </row>
    <row r="146" spans="10:13">
      <c r="J146" s="38"/>
      <c r="L146" s="85"/>
      <c r="M146" s="85"/>
    </row>
    <row r="147" spans="10:13">
      <c r="J147" s="38"/>
      <c r="L147" s="85"/>
      <c r="M147" s="85"/>
    </row>
    <row r="148" spans="10:13">
      <c r="J148" s="38"/>
      <c r="L148" s="85"/>
      <c r="M148" s="85"/>
    </row>
    <row r="149" spans="10:13">
      <c r="J149" s="38"/>
      <c r="L149" s="85"/>
      <c r="M149" s="85"/>
    </row>
    <row r="150" spans="10:13">
      <c r="J150" s="38"/>
      <c r="L150" s="85"/>
      <c r="M150" s="85"/>
    </row>
    <row r="151" spans="10:13">
      <c r="J151" s="38"/>
      <c r="L151" s="85"/>
      <c r="M151" s="85"/>
    </row>
    <row r="152" spans="10:13">
      <c r="J152" s="38"/>
      <c r="L152" s="85"/>
      <c r="M152" s="85"/>
    </row>
    <row r="153" spans="10:13">
      <c r="J153" s="38"/>
      <c r="L153" s="85"/>
      <c r="M153" s="85"/>
    </row>
    <row r="154" spans="10:13">
      <c r="J154" s="38"/>
      <c r="L154" s="85"/>
      <c r="M154" s="85"/>
    </row>
    <row r="155" spans="10:13">
      <c r="J155" s="38"/>
      <c r="L155" s="85"/>
      <c r="M155" s="85"/>
    </row>
    <row r="156" spans="10:13">
      <c r="J156" s="38"/>
      <c r="L156" s="85"/>
      <c r="M156" s="85"/>
    </row>
    <row r="157" spans="10:13">
      <c r="J157" s="38"/>
      <c r="L157" s="85"/>
      <c r="M157" s="85"/>
    </row>
    <row r="158" spans="10:13">
      <c r="J158" s="38"/>
      <c r="L158" s="85"/>
      <c r="M158" s="85"/>
    </row>
    <row r="159" spans="10:13">
      <c r="J159" s="38"/>
      <c r="L159" s="85"/>
      <c r="M159" s="85"/>
    </row>
    <row r="160" spans="10:13">
      <c r="J160" s="38"/>
      <c r="L160" s="85"/>
      <c r="M160" s="85"/>
    </row>
    <row r="161" spans="10:13">
      <c r="J161" s="38"/>
      <c r="L161" s="85"/>
      <c r="M161" s="85"/>
    </row>
    <row r="162" spans="10:13">
      <c r="J162" s="38"/>
      <c r="L162" s="85"/>
      <c r="M162" s="85"/>
    </row>
    <row r="163" spans="10:13">
      <c r="J163" s="38"/>
      <c r="L163" s="85"/>
      <c r="M163" s="85"/>
    </row>
    <row r="164" spans="10:13">
      <c r="J164" s="38"/>
      <c r="L164" s="85"/>
      <c r="M164" s="85"/>
    </row>
    <row r="165" spans="10:13">
      <c r="J165" s="38"/>
      <c r="L165" s="85"/>
      <c r="M165" s="85"/>
    </row>
    <row r="166" spans="10:13">
      <c r="J166" s="38"/>
      <c r="L166" s="85"/>
      <c r="M166" s="85"/>
    </row>
    <row r="167" spans="10:13">
      <c r="J167" s="38"/>
      <c r="L167" s="85"/>
      <c r="M167" s="85"/>
    </row>
    <row r="168" spans="10:13">
      <c r="J168" s="38"/>
      <c r="L168" s="85"/>
      <c r="M168" s="85"/>
    </row>
    <row r="169" spans="10:13">
      <c r="J169" s="38"/>
      <c r="L169" s="85"/>
      <c r="M169" s="85"/>
    </row>
    <row r="170" spans="10:13">
      <c r="J170" s="38"/>
      <c r="L170" s="85"/>
      <c r="M170" s="85"/>
    </row>
    <row r="171" spans="10:13">
      <c r="J171" s="38"/>
      <c r="L171" s="85"/>
      <c r="M171" s="85"/>
    </row>
    <row r="172" spans="10:13">
      <c r="J172" s="38"/>
      <c r="L172" s="85"/>
      <c r="M172" s="85"/>
    </row>
    <row r="173" spans="10:13">
      <c r="J173" s="38"/>
      <c r="L173" s="85"/>
      <c r="M173" s="85"/>
    </row>
    <row r="174" spans="10:13">
      <c r="J174" s="38"/>
      <c r="L174" s="85"/>
      <c r="M174" s="85"/>
    </row>
    <row r="175" spans="10:13">
      <c r="J175" s="38"/>
      <c r="L175" s="85"/>
      <c r="M175" s="85"/>
    </row>
    <row r="176" spans="10:13">
      <c r="J176" s="38"/>
      <c r="L176" s="85"/>
      <c r="M176" s="85"/>
    </row>
    <row r="177" spans="10:13">
      <c r="J177" s="38"/>
      <c r="L177" s="85"/>
      <c r="M177" s="85"/>
    </row>
    <row r="178" spans="10:13">
      <c r="J178" s="38"/>
      <c r="L178" s="85"/>
      <c r="M178" s="85"/>
    </row>
    <row r="179" spans="10:13">
      <c r="J179" s="38"/>
      <c r="L179" s="85"/>
      <c r="M179" s="85"/>
    </row>
    <row r="180" spans="10:13">
      <c r="J180" s="38"/>
      <c r="L180" s="85"/>
      <c r="M180" s="85"/>
    </row>
    <row r="181" spans="10:13">
      <c r="J181" s="38"/>
      <c r="L181" s="85"/>
      <c r="M181" s="85"/>
    </row>
    <row r="182" spans="10:13">
      <c r="J182" s="38"/>
      <c r="L182" s="85"/>
      <c r="M182" s="85"/>
    </row>
    <row r="183" spans="10:13">
      <c r="J183" s="38"/>
      <c r="L183" s="85"/>
      <c r="M183" s="85"/>
    </row>
    <row r="184" spans="10:13">
      <c r="J184" s="38"/>
      <c r="L184" s="85"/>
      <c r="M184" s="85"/>
    </row>
    <row r="185" spans="10:13">
      <c r="J185" s="38"/>
      <c r="L185" s="85"/>
      <c r="M185" s="85"/>
    </row>
    <row r="186" spans="10:13">
      <c r="J186" s="38"/>
      <c r="L186" s="85"/>
      <c r="M186" s="85"/>
    </row>
    <row r="187" spans="10:13">
      <c r="J187" s="38"/>
      <c r="L187" s="85"/>
      <c r="M187" s="85"/>
    </row>
    <row r="188" spans="10:13">
      <c r="J188" s="38"/>
      <c r="L188" s="85"/>
      <c r="M188" s="85"/>
    </row>
    <row r="189" spans="10:13">
      <c r="J189" s="38"/>
      <c r="L189" s="85"/>
      <c r="M189" s="85"/>
    </row>
    <row r="190" spans="10:13">
      <c r="J190" s="38"/>
      <c r="L190" s="85"/>
      <c r="M190" s="85"/>
    </row>
    <row r="191" spans="10:13">
      <c r="J191" s="38"/>
      <c r="L191" s="85"/>
      <c r="M191" s="85"/>
    </row>
    <row r="192" spans="10:13">
      <c r="J192" s="38"/>
      <c r="L192" s="85"/>
      <c r="M192" s="85"/>
    </row>
    <row r="193" spans="10:13">
      <c r="J193" s="38"/>
      <c r="L193" s="85"/>
      <c r="M193" s="85"/>
    </row>
    <row r="194" spans="10:13">
      <c r="J194" s="38"/>
      <c r="L194" s="85"/>
      <c r="M194" s="85"/>
    </row>
    <row r="195" spans="10:13">
      <c r="J195" s="38"/>
      <c r="L195" s="85"/>
      <c r="M195" s="85"/>
    </row>
    <row r="196" spans="10:13">
      <c r="J196" s="38"/>
      <c r="L196" s="85"/>
      <c r="M196" s="85"/>
    </row>
    <row r="197" spans="10:13">
      <c r="J197" s="38"/>
      <c r="L197" s="85"/>
      <c r="M197" s="85"/>
    </row>
    <row r="198" spans="10:13">
      <c r="J198" s="38"/>
      <c r="L198" s="85"/>
      <c r="M198" s="85"/>
    </row>
    <row r="199" spans="10:13">
      <c r="J199" s="38"/>
      <c r="L199" s="85"/>
      <c r="M199" s="85"/>
    </row>
    <row r="200" spans="10:13">
      <c r="J200" s="38"/>
      <c r="L200" s="85"/>
      <c r="M200" s="85"/>
    </row>
    <row r="201" spans="10:13">
      <c r="J201" s="38"/>
      <c r="L201" s="85"/>
      <c r="M201" s="85"/>
    </row>
    <row r="202" spans="10:13">
      <c r="J202" s="38"/>
      <c r="L202" s="85"/>
      <c r="M202" s="85"/>
    </row>
    <row r="203" spans="10:13">
      <c r="J203" s="38"/>
      <c r="L203" s="85"/>
      <c r="M203" s="85"/>
    </row>
    <row r="204" spans="10:13">
      <c r="J204" s="38"/>
      <c r="L204" s="85"/>
      <c r="M204" s="85"/>
    </row>
    <row r="205" spans="10:13">
      <c r="J205" s="38"/>
      <c r="L205" s="85"/>
      <c r="M205" s="85"/>
    </row>
    <row r="206" spans="10:13">
      <c r="J206" s="38"/>
      <c r="L206" s="85"/>
      <c r="M206" s="85"/>
    </row>
    <row r="207" spans="10:13">
      <c r="J207" s="38"/>
      <c r="L207" s="85"/>
      <c r="M207" s="85"/>
    </row>
    <row r="208" spans="10:13">
      <c r="J208" s="38"/>
      <c r="L208" s="85"/>
      <c r="M208" s="85"/>
    </row>
    <row r="209" spans="10:13">
      <c r="J209" s="38"/>
      <c r="L209" s="85"/>
      <c r="M209" s="85"/>
    </row>
    <row r="210" spans="10:13">
      <c r="J210" s="38"/>
      <c r="L210" s="85"/>
      <c r="M210" s="85"/>
    </row>
    <row r="211" spans="10:13">
      <c r="J211" s="38"/>
      <c r="L211" s="85"/>
      <c r="M211" s="85"/>
    </row>
    <row r="212" spans="10:13">
      <c r="J212" s="38"/>
      <c r="L212" s="85"/>
      <c r="M212" s="85"/>
    </row>
    <row r="213" spans="10:13">
      <c r="J213" s="38"/>
      <c r="L213" s="85"/>
      <c r="M213" s="85"/>
    </row>
    <row r="214" spans="10:13">
      <c r="J214" s="38"/>
      <c r="L214" s="85"/>
      <c r="M214" s="85"/>
    </row>
    <row r="215" spans="10:13">
      <c r="J215" s="38"/>
      <c r="L215" s="85"/>
      <c r="M215" s="85"/>
    </row>
    <row r="216" spans="10:13">
      <c r="J216" s="38"/>
      <c r="L216" s="85"/>
      <c r="M216" s="85"/>
    </row>
    <row r="217" spans="10:13">
      <c r="J217" s="38"/>
      <c r="L217" s="85"/>
      <c r="M217" s="85"/>
    </row>
    <row r="218" spans="10:13">
      <c r="J218" s="38"/>
      <c r="L218" s="85"/>
      <c r="M218" s="85"/>
    </row>
    <row r="219" spans="10:13">
      <c r="J219" s="38"/>
      <c r="L219" s="85"/>
      <c r="M219" s="85"/>
    </row>
    <row r="220" spans="10:13">
      <c r="J220" s="38"/>
      <c r="L220" s="85"/>
      <c r="M220" s="85"/>
    </row>
    <row r="221" spans="10:13">
      <c r="J221" s="38"/>
      <c r="L221" s="85"/>
      <c r="M221" s="85"/>
    </row>
    <row r="222" spans="10:13">
      <c r="J222" s="38"/>
      <c r="L222" s="85"/>
      <c r="M222" s="85"/>
    </row>
    <row r="223" spans="10:13">
      <c r="J223" s="38"/>
      <c r="L223" s="85"/>
      <c r="M223" s="85"/>
    </row>
    <row r="224" spans="10:13">
      <c r="J224" s="38"/>
      <c r="L224" s="85"/>
      <c r="M224" s="85"/>
    </row>
    <row r="225" spans="10:13">
      <c r="J225" s="38"/>
      <c r="L225" s="85"/>
      <c r="M225" s="85"/>
    </row>
    <row r="226" spans="10:13">
      <c r="J226" s="38"/>
      <c r="L226" s="85"/>
      <c r="M226" s="85"/>
    </row>
    <row r="227" spans="10:13">
      <c r="J227" s="38"/>
      <c r="L227" s="85"/>
      <c r="M227" s="85"/>
    </row>
    <row r="228" spans="10:13">
      <c r="J228" s="38"/>
      <c r="L228" s="85"/>
      <c r="M228" s="85"/>
    </row>
    <row r="229" spans="10:13">
      <c r="J229" s="38"/>
      <c r="L229" s="85"/>
      <c r="M229" s="85"/>
    </row>
    <row r="230" spans="10:13">
      <c r="J230" s="38"/>
      <c r="L230" s="85"/>
      <c r="M230" s="85"/>
    </row>
    <row r="231" spans="10:13">
      <c r="J231" s="38"/>
      <c r="L231" s="85"/>
      <c r="M231" s="85"/>
    </row>
    <row r="232" spans="10:13">
      <c r="J232" s="38"/>
      <c r="L232" s="85"/>
      <c r="M232" s="85"/>
    </row>
    <row r="233" spans="10:13">
      <c r="J233" s="38"/>
      <c r="L233" s="85"/>
      <c r="M233" s="85"/>
    </row>
    <row r="234" spans="10:13">
      <c r="J234" s="38"/>
      <c r="L234" s="85"/>
      <c r="M234" s="85"/>
    </row>
    <row r="235" spans="10:13">
      <c r="J235" s="38"/>
      <c r="L235" s="85"/>
      <c r="M235" s="85"/>
    </row>
    <row r="236" spans="10:13">
      <c r="J236" s="38"/>
      <c r="L236" s="85"/>
      <c r="M236" s="85"/>
    </row>
    <row r="237" spans="10:13">
      <c r="J237" s="38"/>
      <c r="L237" s="85"/>
      <c r="M237" s="85"/>
    </row>
    <row r="238" spans="10:13">
      <c r="J238" s="38"/>
      <c r="L238" s="85"/>
      <c r="M238" s="85"/>
    </row>
    <row r="239" spans="10:13">
      <c r="J239" s="38"/>
      <c r="L239" s="85"/>
      <c r="M239" s="85"/>
    </row>
    <row r="240" spans="10:13">
      <c r="J240" s="38"/>
      <c r="L240" s="85"/>
      <c r="M240" s="85"/>
    </row>
    <row r="241" spans="10:13">
      <c r="J241" s="38"/>
      <c r="L241" s="85"/>
      <c r="M241" s="85"/>
    </row>
    <row r="242" spans="10:13">
      <c r="J242" s="38"/>
      <c r="L242" s="85"/>
      <c r="M242" s="85"/>
    </row>
    <row r="243" spans="10:13">
      <c r="J243" s="38"/>
      <c r="L243" s="85"/>
      <c r="M243" s="85"/>
    </row>
    <row r="244" spans="10:13">
      <c r="J244" s="38"/>
      <c r="L244" s="85"/>
      <c r="M244" s="85"/>
    </row>
    <row r="245" spans="10:13">
      <c r="J245" s="38"/>
      <c r="L245" s="85"/>
      <c r="M245" s="85"/>
    </row>
    <row r="246" spans="10:13">
      <c r="J246" s="38"/>
      <c r="L246" s="85"/>
      <c r="M246" s="85"/>
    </row>
    <row r="247" spans="10:13">
      <c r="J247" s="38"/>
      <c r="L247" s="85"/>
      <c r="M247" s="85"/>
    </row>
    <row r="248" spans="10:13">
      <c r="J248" s="38"/>
      <c r="L248" s="85"/>
      <c r="M248" s="85"/>
    </row>
    <row r="249" spans="10:13">
      <c r="J249" s="38"/>
      <c r="L249" s="85"/>
      <c r="M249" s="85"/>
    </row>
    <row r="250" spans="10:13">
      <c r="J250" s="38"/>
      <c r="L250" s="85"/>
      <c r="M250" s="85"/>
    </row>
    <row r="251" spans="10:13">
      <c r="J251" s="38"/>
      <c r="L251" s="85"/>
      <c r="M251" s="85"/>
    </row>
    <row r="252" spans="10:13">
      <c r="J252" s="38"/>
      <c r="L252" s="85"/>
      <c r="M252" s="85"/>
    </row>
    <row r="253" spans="10:13">
      <c r="J253" s="38"/>
      <c r="L253" s="85"/>
      <c r="M253" s="85"/>
    </row>
    <row r="254" spans="10:13">
      <c r="J254" s="38"/>
      <c r="L254" s="85"/>
      <c r="M254" s="85"/>
    </row>
    <row r="255" spans="10:13">
      <c r="J255" s="38"/>
      <c r="L255" s="85"/>
      <c r="M255" s="85"/>
    </row>
    <row r="256" spans="10:13">
      <c r="J256" s="38"/>
      <c r="L256" s="85"/>
      <c r="M256" s="85"/>
    </row>
    <row r="257" spans="10:13">
      <c r="J257" s="38"/>
      <c r="L257" s="85"/>
      <c r="M257" s="85"/>
    </row>
    <row r="258" spans="10:13">
      <c r="J258" s="38"/>
      <c r="L258" s="85"/>
      <c r="M258" s="85"/>
    </row>
    <row r="259" spans="10:13">
      <c r="J259" s="38"/>
      <c r="L259" s="85"/>
      <c r="M259" s="85"/>
    </row>
    <row r="260" spans="10:13">
      <c r="J260" s="38"/>
      <c r="L260" s="85"/>
      <c r="M260" s="85"/>
    </row>
    <row r="261" spans="10:13">
      <c r="J261" s="38"/>
      <c r="L261" s="85"/>
      <c r="M261" s="85"/>
    </row>
    <row r="262" spans="10:13">
      <c r="J262" s="38"/>
      <c r="L262" s="85"/>
      <c r="M262" s="85"/>
    </row>
    <row r="263" spans="10:13">
      <c r="J263" s="38"/>
      <c r="L263" s="85"/>
      <c r="M263" s="85"/>
    </row>
    <row r="264" spans="10:13">
      <c r="J264" s="38"/>
      <c r="L264" s="85"/>
      <c r="M264" s="85"/>
    </row>
    <row r="265" spans="10:13">
      <c r="J265" s="38"/>
      <c r="L265" s="85"/>
      <c r="M265" s="85"/>
    </row>
    <row r="266" spans="10:13">
      <c r="J266" s="38"/>
      <c r="L266" s="85"/>
      <c r="M266" s="85"/>
    </row>
    <row r="267" spans="10:13">
      <c r="J267" s="38"/>
      <c r="L267" s="85"/>
      <c r="M267" s="85"/>
    </row>
    <row r="268" spans="10:13">
      <c r="J268" s="38"/>
      <c r="L268" s="85"/>
      <c r="M268" s="85"/>
    </row>
    <row r="269" spans="10:13">
      <c r="J269" s="38"/>
      <c r="L269" s="85"/>
      <c r="M269" s="85"/>
    </row>
    <row r="270" spans="10:13">
      <c r="J270" s="38"/>
      <c r="L270" s="85"/>
      <c r="M270" s="85"/>
    </row>
    <row r="271" spans="10:13">
      <c r="J271" s="38"/>
      <c r="L271" s="85"/>
      <c r="M271" s="85"/>
    </row>
    <row r="272" spans="10:13">
      <c r="J272" s="38"/>
      <c r="L272" s="85"/>
      <c r="M272" s="85"/>
    </row>
    <row r="273" spans="10:13">
      <c r="J273" s="38"/>
      <c r="L273" s="85"/>
      <c r="M273" s="85"/>
    </row>
    <row r="274" spans="10:13">
      <c r="J274" s="38"/>
      <c r="L274" s="85"/>
      <c r="M274" s="85"/>
    </row>
    <row r="275" spans="10:13">
      <c r="J275" s="38"/>
      <c r="L275" s="85"/>
      <c r="M275" s="85"/>
    </row>
    <row r="276" spans="10:13">
      <c r="J276" s="38"/>
      <c r="L276" s="85"/>
      <c r="M276" s="85"/>
    </row>
    <row r="277" spans="10:13">
      <c r="J277" s="38"/>
      <c r="L277" s="85"/>
      <c r="M277" s="85"/>
    </row>
    <row r="278" spans="10:13">
      <c r="J278" s="38"/>
      <c r="L278" s="85"/>
      <c r="M278" s="85"/>
    </row>
    <row r="279" spans="10:13">
      <c r="J279" s="38"/>
      <c r="L279" s="85"/>
      <c r="M279" s="85"/>
    </row>
    <row r="280" spans="10:13">
      <c r="J280" s="38"/>
      <c r="L280" s="85"/>
      <c r="M280" s="85"/>
    </row>
    <row r="281" spans="10:13">
      <c r="J281" s="38"/>
      <c r="L281" s="85"/>
      <c r="M281" s="85"/>
    </row>
    <row r="282" spans="10:13">
      <c r="J282" s="38"/>
      <c r="L282" s="85"/>
      <c r="M282" s="85"/>
    </row>
    <row r="283" spans="10:13">
      <c r="J283" s="38"/>
      <c r="L283" s="85"/>
      <c r="M283" s="85"/>
    </row>
    <row r="284" spans="10:13">
      <c r="J284" s="38"/>
      <c r="L284" s="85"/>
      <c r="M284" s="85"/>
    </row>
    <row r="285" spans="10:13">
      <c r="J285" s="38"/>
      <c r="L285" s="85"/>
      <c r="M285" s="85"/>
    </row>
    <row r="286" spans="10:13">
      <c r="J286" s="38"/>
      <c r="L286" s="85"/>
      <c r="M286" s="85"/>
    </row>
    <row r="287" spans="10:13">
      <c r="J287" s="38"/>
      <c r="L287" s="85"/>
      <c r="M287" s="85"/>
    </row>
    <row r="288" spans="10:13">
      <c r="J288" s="38"/>
      <c r="L288" s="85"/>
      <c r="M288" s="85"/>
    </row>
    <row r="289" spans="10:13">
      <c r="J289" s="38"/>
      <c r="L289" s="85"/>
      <c r="M289" s="85"/>
    </row>
    <row r="290" spans="10:13">
      <c r="J290" s="38"/>
      <c r="L290" s="85"/>
      <c r="M290" s="85"/>
    </row>
    <row r="291" spans="10:13">
      <c r="J291" s="38"/>
      <c r="L291" s="85"/>
      <c r="M291" s="85"/>
    </row>
    <row r="292" spans="10:13">
      <c r="J292" s="38"/>
      <c r="L292" s="85"/>
      <c r="M292" s="85"/>
    </row>
    <row r="293" spans="10:13">
      <c r="J293" s="38"/>
      <c r="L293" s="85"/>
      <c r="M293" s="85"/>
    </row>
    <row r="294" spans="10:13">
      <c r="J294" s="38"/>
      <c r="L294" s="85"/>
      <c r="M294" s="85"/>
    </row>
    <row r="295" spans="10:13">
      <c r="J295" s="38"/>
      <c r="L295" s="85"/>
      <c r="M295" s="85"/>
    </row>
    <row r="296" spans="10:13">
      <c r="J296" s="38"/>
      <c r="L296" s="85"/>
      <c r="M296" s="85"/>
    </row>
    <row r="297" spans="10:13">
      <c r="J297" s="38"/>
      <c r="L297" s="85"/>
      <c r="M297" s="85"/>
    </row>
    <row r="298" spans="10:13">
      <c r="J298" s="38"/>
      <c r="L298" s="85"/>
      <c r="M298" s="85"/>
    </row>
    <row r="299" spans="10:13">
      <c r="J299" s="38"/>
      <c r="L299" s="85"/>
      <c r="M299" s="85"/>
    </row>
    <row r="300" spans="10:13">
      <c r="J300" s="38"/>
      <c r="L300" s="85"/>
    </row>
    <row r="301" spans="10:13">
      <c r="J301" s="38"/>
      <c r="L301" s="85"/>
    </row>
    <row r="302" spans="10:13">
      <c r="J302" s="38"/>
      <c r="L302" s="85"/>
    </row>
    <row r="303" spans="10:13">
      <c r="J303" s="38"/>
      <c r="L303" s="85"/>
    </row>
    <row r="304" spans="10:13">
      <c r="J304" s="38"/>
      <c r="L304" s="85"/>
    </row>
    <row r="305" spans="10:12">
      <c r="J305" s="38"/>
      <c r="L305" s="85"/>
    </row>
    <row r="306" spans="10:12">
      <c r="J306" s="38"/>
      <c r="L306" s="85"/>
    </row>
    <row r="307" spans="10:12">
      <c r="J307" s="38"/>
      <c r="L307" s="85"/>
    </row>
    <row r="308" spans="10:12">
      <c r="J308" s="38"/>
      <c r="L308" s="85"/>
    </row>
    <row r="309" spans="10:12">
      <c r="J309" s="38"/>
      <c r="L309" s="85"/>
    </row>
    <row r="310" spans="10:12">
      <c r="J310" s="38"/>
      <c r="L310" s="85"/>
    </row>
    <row r="311" spans="10:12">
      <c r="J311" s="38"/>
      <c r="L311" s="85"/>
    </row>
    <row r="312" spans="10:12">
      <c r="J312" s="38"/>
      <c r="L312" s="85"/>
    </row>
    <row r="313" spans="10:12">
      <c r="J313" s="38"/>
      <c r="L313" s="85"/>
    </row>
    <row r="314" spans="10:12">
      <c r="J314" s="38"/>
      <c r="L314" s="85"/>
    </row>
    <row r="315" spans="10:12">
      <c r="J315" s="38"/>
      <c r="L315" s="85"/>
    </row>
    <row r="316" spans="10:12">
      <c r="J316" s="38"/>
      <c r="L316" s="85"/>
    </row>
    <row r="317" spans="10:12">
      <c r="J317" s="38"/>
      <c r="L317" s="85"/>
    </row>
    <row r="318" spans="10:12">
      <c r="J318" s="38"/>
      <c r="L318" s="85"/>
    </row>
    <row r="319" spans="10:12">
      <c r="J319" s="38"/>
      <c r="L319" s="85"/>
    </row>
    <row r="320" spans="10:12">
      <c r="J320" s="38"/>
      <c r="L320" s="85"/>
    </row>
    <row r="321" spans="10:12">
      <c r="J321" s="38"/>
      <c r="L321" s="85"/>
    </row>
    <row r="322" spans="10:12">
      <c r="J322" s="38"/>
      <c r="L322" s="85"/>
    </row>
    <row r="323" spans="10:12">
      <c r="J323" s="38"/>
      <c r="L323" s="85"/>
    </row>
    <row r="324" spans="10:12">
      <c r="J324" s="38"/>
      <c r="L324" s="85"/>
    </row>
    <row r="325" spans="10:12">
      <c r="J325" s="38"/>
    </row>
  </sheetData>
  <sheetProtection sheet="1" selectLockedCells="1"/>
  <mergeCells count="56">
    <mergeCell ref="X6:Z6"/>
    <mergeCell ref="S18:Z18"/>
    <mergeCell ref="E4:S4"/>
    <mergeCell ref="T7:W7"/>
    <mergeCell ref="X7:Z7"/>
    <mergeCell ref="X12:AA12"/>
    <mergeCell ref="K14:R14"/>
    <mergeCell ref="AA14:AA15"/>
    <mergeCell ref="P8:S8"/>
    <mergeCell ref="P9:S9"/>
    <mergeCell ref="S14:Z14"/>
    <mergeCell ref="Y11:Z11"/>
    <mergeCell ref="J12:K12"/>
    <mergeCell ref="L12:O12"/>
    <mergeCell ref="P12:S12"/>
    <mergeCell ref="I13:J13"/>
    <mergeCell ref="A4:B4"/>
    <mergeCell ref="B6:C6"/>
    <mergeCell ref="E6:I6"/>
    <mergeCell ref="J6:K6"/>
    <mergeCell ref="L6:N6"/>
    <mergeCell ref="C4:D4"/>
    <mergeCell ref="J38:K38"/>
    <mergeCell ref="A5:AA5"/>
    <mergeCell ref="P6:S6"/>
    <mergeCell ref="A14:B14"/>
    <mergeCell ref="C13:C14"/>
    <mergeCell ref="T9:W9"/>
    <mergeCell ref="I14:J14"/>
    <mergeCell ref="J7:K7"/>
    <mergeCell ref="L7:N7"/>
    <mergeCell ref="P11:S11"/>
    <mergeCell ref="P7:S7"/>
    <mergeCell ref="T6:W6"/>
    <mergeCell ref="S16:Z16"/>
    <mergeCell ref="S17:Z17"/>
    <mergeCell ref="B12:C12"/>
    <mergeCell ref="S19:Z19"/>
    <mergeCell ref="A1:AA1"/>
    <mergeCell ref="A2:B3"/>
    <mergeCell ref="C2:D2"/>
    <mergeCell ref="N2:AA2"/>
    <mergeCell ref="C3:D3"/>
    <mergeCell ref="T12:V12"/>
    <mergeCell ref="E12:I12"/>
    <mergeCell ref="T11:V11"/>
    <mergeCell ref="B7:C7"/>
    <mergeCell ref="B11:D11"/>
    <mergeCell ref="E11:I11"/>
    <mergeCell ref="E7:I7"/>
    <mergeCell ref="F9:O9"/>
    <mergeCell ref="L11:O11"/>
    <mergeCell ref="J11:K11"/>
    <mergeCell ref="B9:C9"/>
    <mergeCell ref="F8:O8"/>
    <mergeCell ref="T8:W8"/>
  </mergeCells>
  <phoneticPr fontId="2"/>
  <conditionalFormatting sqref="E7 P7 T7 B9 D9 F9:H9 P9 T9 Y11 W11:W12 D12 D14:F14">
    <cfRule type="expression" dxfId="6" priority="12" stopIfTrue="1">
      <formula>IF(B7="",TRUE,FALSE)</formula>
    </cfRule>
  </conditionalFormatting>
  <conditionalFormatting sqref="E9">
    <cfRule type="expression" dxfId="5" priority="7" stopIfTrue="1">
      <formula>IF($E$9="",TRUE,FALSE)</formula>
    </cfRule>
  </conditionalFormatting>
  <conditionalFormatting sqref="J7:K7">
    <cfRule type="expression" dxfId="4" priority="6" stopIfTrue="1">
      <formula>IF($J$7="",TRUE,FALSE)</formula>
    </cfRule>
  </conditionalFormatting>
  <conditionalFormatting sqref="K16:K30">
    <cfRule type="expression" dxfId="3" priority="13" stopIfTrue="1">
      <formula>IF(AND(K16="",#REF!=""),TRUE,FALSE)</formula>
    </cfRule>
  </conditionalFormatting>
  <conditionalFormatting sqref="L7:N7">
    <cfRule type="expression" dxfId="2" priority="5" stopIfTrue="1">
      <formula>IF($L$7="",TRUE,FALSE)</formula>
    </cfRule>
  </conditionalFormatting>
  <conditionalFormatting sqref="S16:S30">
    <cfRule type="expression" dxfId="1" priority="1" stopIfTrue="1">
      <formula>IF(AND(S16="",#REF!=""),TRUE,FALSE)</formula>
    </cfRule>
  </conditionalFormatting>
  <conditionalFormatting sqref="AB16:AB30">
    <cfRule type="expression" dxfId="0" priority="8" stopIfTrue="1">
      <formula>IF(AB16="",TRUE,FALSE)</formula>
    </cfRule>
  </conditionalFormatting>
  <dataValidations xWindow="155" yWindow="677" count="16">
    <dataValidation imeMode="halfKatakana" allowBlank="1" showInputMessage="1" showErrorMessage="1" sqref="J7 E16:F30" xr:uid="{4A329E27-9856-4E2C-9565-9213296347DE}"/>
    <dataValidation type="whole" imeMode="halfAlpha" allowBlank="1" showInputMessage="1" showErrorMessage="1" sqref="B9:C9" xr:uid="{BC65E33D-1794-437B-882E-099FE1003712}">
      <formula1>1000000</formula1>
      <formula2>9999999</formula2>
    </dataValidation>
    <dataValidation type="list" imeMode="off" allowBlank="1" showInputMessage="1" showErrorMessage="1" sqref="P16:P30" xr:uid="{C33F3624-BD69-4531-A0F8-1AC5973FBD40}">
      <formula1>$A$42:$A$43</formula1>
    </dataValidation>
    <dataValidation type="list" imeMode="off" allowBlank="1" showInputMessage="1" showErrorMessage="1" sqref="Q16:Q30" xr:uid="{4F0FD1BF-E25D-4459-A2B8-6FBFCBD67225}">
      <formula1>$A$46:$A$57</formula1>
    </dataValidation>
    <dataValidation type="list" imeMode="off" allowBlank="1" showInputMessage="1" showErrorMessage="1" sqref="R16:R30" xr:uid="{DC66BCB5-2D8E-4F90-8EB5-9C3BA04EAC7F}">
      <formula1>$A$60:$A$90</formula1>
    </dataValidation>
    <dataValidation type="textLength" imeMode="off" allowBlank="1" showInputMessage="1" showErrorMessage="1" sqref="L16:N30" xr:uid="{529AB04F-626B-4934-A265-B6A2490AD9A5}">
      <formula1>1</formula1>
      <formula2>2</formula2>
    </dataValidation>
    <dataValidation type="list" imeMode="disabled" allowBlank="1" showInputMessage="1" showErrorMessage="1" prompt="リレー登録は〇_x000a_6名以内" sqref="J16:J30" xr:uid="{DA581E80-BCAC-42B5-B1E6-B2F2B61FF3FC}">
      <formula1>$A$39</formula1>
    </dataValidation>
    <dataValidation type="list" imeMode="off" allowBlank="1" showInputMessage="1" showErrorMessage="1" promptTitle="種目" prompt="▼をクリックし種目選択" sqref="A27:A30" xr:uid="{3D872068-F873-4438-997C-EA77D140E366}">
      <formula1>$A$39:$A$44</formula1>
    </dataValidation>
    <dataValidation imeMode="off" allowBlank="1" showInputMessage="1" showErrorMessage="1" sqref="P9 T9 G16:H30" xr:uid="{E1EC6EA4-9D8C-4065-95B2-1715ED924B04}"/>
    <dataValidation imeMode="hiragana" allowBlank="1" showInputMessage="1" showErrorMessage="1" sqref="T13 J11 D12 P7 F9:H9 D9 T11 T7 E11:H12 B12 O16:O30 L13 C16:D30" xr:uid="{ADED2427-184B-45D8-AE0B-D012B1BEE221}"/>
    <dataValidation type="whole" imeMode="off" allowBlank="1" showInputMessage="1" showErrorMessage="1" sqref="D14" xr:uid="{A0C7C7B6-DEEB-4282-904D-B67678C2BD12}">
      <formula1>0</formula1>
      <formula2>1</formula2>
    </dataValidation>
    <dataValidation type="whole" imeMode="off" allowBlank="1" showInputMessage="1" showErrorMessage="1" sqref="E14" xr:uid="{DA8E6D7F-5A97-4F3A-BD21-3482911781F2}">
      <formula1>0</formula1>
      <formula2>59</formula2>
    </dataValidation>
    <dataValidation type="whole" imeMode="off" allowBlank="1" showInputMessage="1" showErrorMessage="1" sqref="F14:H14" xr:uid="{41C1E18C-E847-4E5B-95F7-38C9D1890044}">
      <formula1>0</formula1>
      <formula2>99</formula2>
    </dataValidation>
    <dataValidation type="list" allowBlank="1" showInputMessage="1" showErrorMessage="1" sqref="K16:K30" xr:uid="{30497F4B-925E-4B36-A3F6-25898F3A5F16}">
      <formula1>$C$39:$C$40</formula1>
    </dataValidation>
    <dataValidation type="list" imeMode="off" allowBlank="1" showInputMessage="1" showErrorMessage="1" prompt="大学院生はM1-2/D1-3" sqref="I16:I30" xr:uid="{0FBA6DC1-5631-4BA9-B682-74C2F1F38991}">
      <formula1>$E$45:$E$55</formula1>
    </dataValidation>
    <dataValidation type="list" allowBlank="1" showInputMessage="1" showErrorMessage="1" promptTitle="登録陸協" prompt="登録陸協の都道府県を選択してください" sqref="AB16:AB30" xr:uid="{98D938C6-00F7-4BB7-A376-9709B955EF90}">
      <formula1>$K$39:$K$44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3" fitToHeight="2" orientation="landscape" r:id="rId1"/>
  <headerFooter alignWithMargins="0"/>
  <rowBreaks count="1" manualBreakCount="1">
    <brk id="30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注意事項</vt:lpstr>
      <vt:lpstr>男子申込</vt:lpstr>
      <vt:lpstr>女子申込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保孝 大塚</cp:lastModifiedBy>
  <cp:lastPrinted>2025-02-22T22:52:44Z</cp:lastPrinted>
  <dcterms:created xsi:type="dcterms:W3CDTF">2009-02-12T23:40:28Z</dcterms:created>
  <dcterms:modified xsi:type="dcterms:W3CDTF">2026-03-02T01:44:18Z</dcterms:modified>
</cp:coreProperties>
</file>